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embeddings/oleObject1.bin" ContentType="application/vnd.openxmlformats-officedocument.oleObject"/>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mc:AlternateContent xmlns:mc="http://schemas.openxmlformats.org/markup-compatibility/2006">
    <mc:Choice Requires="x15">
      <x15ac:absPath xmlns:x15ac="http://schemas.microsoft.com/office/spreadsheetml/2010/11/ac" url="https://processingandprogramming.sharepoint.com/sites/PP/Documents/bas/PRECDNTS/LONGSVCL/"/>
    </mc:Choice>
  </mc:AlternateContent>
  <xr:revisionPtr revIDLastSave="19" documentId="8_{3972E31D-EE00-404A-BC56-7FB9ED5EA9A0}" xr6:coauthVersionLast="47" xr6:coauthVersionMax="47" xr10:uidLastSave="{76B7BE39-1CE6-4AEA-BCB8-6DF12D24D3CA}"/>
  <bookViews>
    <workbookView xWindow="28680" yWindow="-120" windowWidth="29040" windowHeight="15840" xr2:uid="{00000000-000D-0000-FFFF-FFFF00000000}"/>
  </bookViews>
  <sheets>
    <sheet name="Calculation" sheetId="1" r:id="rId1"/>
    <sheet name="Module2" sheetId="2" state="veryHidden" r:id="rId2"/>
    <sheet name="Module1" sheetId="16" state="veryHidden" r:id="rId3"/>
  </sheets>
  <definedNames>
    <definedName name="AgeDemographic">#REF!</definedName>
    <definedName name="AllFRow">Calculation!$A$339:$AC$339</definedName>
    <definedName name="AllMRow">Calculation!$A$341:$AC$341</definedName>
    <definedName name="AllRow">Calculation!$A$120:$AV$120</definedName>
    <definedName name="AvFRow">Calculation!$A$340:$AC$340</definedName>
    <definedName name="AvMRow">Calculation!$A$342:$AC$342</definedName>
    <definedName name="AvRow">Calculation!$A$123:$AP$123</definedName>
    <definedName name="bottom_left">#REF!</definedName>
    <definedName name="CashFlows">#REF!</definedName>
    <definedName name="ClientName">Calculation!$A$4</definedName>
    <definedName name="CopyArea">Calculation!$A$116:$T$119</definedName>
    <definedName name="DataAndResultsSummary">Calculation!$A$15:$O$46</definedName>
    <definedName name="DataStart">Calculation!$A$116</definedName>
    <definedName name="DataSummary">Calculation!$A$15:$J$46</definedName>
    <definedName name="DaysPerYear">Calculation!#REF!</definedName>
    <definedName name="DemogAssptns">#REF!</definedName>
    <definedName name="DemogTransfer">#REF!</definedName>
    <definedName name="DiscFactor">#REF!</definedName>
    <definedName name="DiscRate">Calculation!#REF!</definedName>
    <definedName name="DisPpn">Calculation!#REF!</definedName>
    <definedName name="DthPpn">Calculation!#REF!</definedName>
    <definedName name="EndTime">Calculation!#REF!</definedName>
    <definedName name="ExitDateHeading">Calculation!$F$115</definedName>
    <definedName name="GendemData">Calculation!$A$115:$L$119</definedName>
    <definedName name="HeaderRow">Calculation!$A$115:$AP$115</definedName>
    <definedName name="InArea">Calculation!#REF!</definedName>
    <definedName name="IndivData">Calculation!$A$111</definedName>
    <definedName name="InflFactor">#REF!</definedName>
    <definedName name="InflRate">Calculation!#REF!</definedName>
    <definedName name="IntlAcrl">Calculation!#REF!</definedName>
    <definedName name="IntlCondl">Calculation!#REF!</definedName>
    <definedName name="IntlQual">Calculation!#REF!</definedName>
    <definedName name="IntlRate">Calculation!#REF!</definedName>
    <definedName name="LastYear">Calculation!$C$10</definedName>
    <definedName name="LiveAllRow">Calculation!$A$124:$AV$124</definedName>
    <definedName name="LiveAvRow">Calculation!$A$127:$AV$127</definedName>
    <definedName name="LiveMaxRow">Calculation!$A$126:$AV$126</definedName>
    <definedName name="LiveMinRow">Calculation!$A$125:$AV$125</definedName>
    <definedName name="MainDisplay">Calculation!#REF!</definedName>
    <definedName name="Maxrecs">Calculation!$J$4</definedName>
    <definedName name="MaxRow">Calculation!$A$122:$AH$122</definedName>
    <definedName name="MinRow">Calculation!$A$121:$AH$121</definedName>
    <definedName name="MonthDemographic">#REF!</definedName>
    <definedName name="MonthFemale">#REF!</definedName>
    <definedName name="MonthMale">#REF!</definedName>
    <definedName name="no_adjust_source_range">#REF!</definedName>
    <definedName name="PreCondDays">Calculation!$K1</definedName>
    <definedName name="_xlnm.Print_Area" localSheetId="0">Calculation!$A$1:$P$110</definedName>
    <definedName name="RecNo">Calculation!#REF!</definedName>
    <definedName name="ResPpn">Calculation!#REF!</definedName>
    <definedName name="ResultsArea">Calculation!#REF!</definedName>
    <definedName name="RetAge">Calculation!#REF!</definedName>
    <definedName name="RetPpn">Calculation!#REF!</definedName>
    <definedName name="RetrPpn">Calculation!#REF!</definedName>
    <definedName name="RowOfMax">Calculation!$A$129</definedName>
    <definedName name="RunoffFactors">#REF!</definedName>
    <definedName name="RunPpn">Calculation!#REF!</definedName>
    <definedName name="SalPpn">Calculation!#REF!</definedName>
    <definedName name="SelectYears">Calculation!#REF!</definedName>
    <definedName name="SelPpn">Calculation!#REF!</definedName>
    <definedName name="SexCode">Calculation!$AQ$116</definedName>
    <definedName name="ShorttermExits">#REF!</definedName>
    <definedName name="source_location">#REF!</definedName>
    <definedName name="StartTime">Calculation!#REF!</definedName>
    <definedName name="SubsAcrl">Calculation!#REF!</definedName>
    <definedName name="SubsCondl">Calculation!#REF!</definedName>
    <definedName name="SubsQual">Calculation!#REF!</definedName>
    <definedName name="SubsRate">Calculation!#REF!</definedName>
    <definedName name="top_left">#REF!</definedName>
    <definedName name="TopDisplay">Calculation!#REF!</definedName>
    <definedName name="TotalRow">Calculation!$A$120:$AH$120</definedName>
    <definedName name="VaDate">Calculation!$C$9</definedName>
    <definedName name="ValDate">Calculation!$C$9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5" i="1" l="1" a="1"/>
  <c r="Z123" i="1"/>
  <c r="Y123" i="1"/>
  <c r="X123" i="1"/>
  <c r="W123" i="1"/>
  <c r="V123" i="1"/>
  <c r="U123" i="1"/>
  <c r="Z122" i="1"/>
  <c r="Y122" i="1"/>
  <c r="X122" i="1"/>
  <c r="W122" i="1"/>
  <c r="V122" i="1"/>
  <c r="U122" i="1"/>
  <c r="Z121" i="1"/>
  <c r="Y121" i="1"/>
  <c r="X121" i="1"/>
  <c r="W121" i="1"/>
  <c r="V121" i="1"/>
  <c r="U121" i="1"/>
  <c r="Z120" i="1"/>
  <c r="Y120" i="1"/>
  <c r="X120" i="1"/>
  <c r="W120" i="1"/>
  <c r="V120" i="1"/>
  <c r="U120" i="1"/>
  <c r="O123" i="1"/>
  <c r="Q123" i="1"/>
  <c r="O122" i="1"/>
  <c r="Q122" i="1"/>
  <c r="O121" i="1"/>
  <c r="Q121" i="1"/>
  <c r="O120" i="1"/>
  <c r="Q120" i="1"/>
  <c r="M123" i="1"/>
  <c r="M122" i="1"/>
  <c r="M121" i="1"/>
  <c r="M120" i="1"/>
  <c r="C10" i="1" l="1"/>
  <c r="AN118" i="1" s="1"/>
  <c r="AO118" i="1" s="1"/>
  <c r="AI119" i="1"/>
  <c r="AM119" i="1" s="1"/>
  <c r="AI116" i="1"/>
  <c r="AI117" i="1"/>
  <c r="AM117" i="1" s="1"/>
  <c r="AI118" i="1"/>
  <c r="AK119" i="1"/>
  <c r="AK118" i="1"/>
  <c r="AK117" i="1"/>
  <c r="A29" i="1"/>
  <c r="A41" i="1" s="1"/>
  <c r="R33" i="1"/>
  <c r="A33" i="1" s="1"/>
  <c r="AK116" i="1"/>
  <c r="B180" i="1" a="1"/>
  <c r="B180" i="1" s="1"/>
  <c r="B179" i="1" a="1"/>
  <c r="B179" i="1" s="1"/>
  <c r="B178" i="1" a="1"/>
  <c r="B178" i="1" s="1"/>
  <c r="B177" i="1" a="1"/>
  <c r="B177" i="1" s="1"/>
  <c r="B176" i="1" a="1"/>
  <c r="B176" i="1" s="1"/>
  <c r="B175" i="1" a="1"/>
  <c r="B175" i="1" s="1"/>
  <c r="B174" i="1" a="1"/>
  <c r="B174" i="1" s="1"/>
  <c r="B173" i="1" a="1"/>
  <c r="B173" i="1" s="1"/>
  <c r="B172" i="1" a="1"/>
  <c r="B172" i="1" s="1"/>
  <c r="B171" i="1" a="1"/>
  <c r="B171" i="1" s="1"/>
  <c r="B170" i="1" a="1"/>
  <c r="B170" i="1" s="1"/>
  <c r="B169" i="1" a="1"/>
  <c r="B169" i="1" s="1"/>
  <c r="B168" i="1" a="1"/>
  <c r="B168" i="1" s="1"/>
  <c r="B167" i="1" a="1"/>
  <c r="B167" i="1" s="1"/>
  <c r="B166" i="1" a="1"/>
  <c r="B166" i="1" s="1"/>
  <c r="B165" i="1" a="1"/>
  <c r="B165" i="1" s="1"/>
  <c r="B164" i="1" a="1"/>
  <c r="B164" i="1" s="1"/>
  <c r="B163" i="1" a="1"/>
  <c r="B163" i="1" s="1"/>
  <c r="B162" i="1" a="1"/>
  <c r="B162" i="1" s="1"/>
  <c r="B181" i="1" a="1"/>
  <c r="B181" i="1" s="1"/>
  <c r="I17" i="1"/>
  <c r="J17" i="1"/>
  <c r="K17" i="1"/>
  <c r="K25" i="1" s="1" a="1"/>
  <c r="K25" i="1" s="1"/>
  <c r="L17" i="1"/>
  <c r="L25" i="1" s="1" a="1"/>
  <c r="L25" i="1" s="1"/>
  <c r="M17" i="1"/>
  <c r="M25" i="1" s="1" a="1"/>
  <c r="M25" i="1" s="1"/>
  <c r="AJ116" i="1"/>
  <c r="AI124" i="1" a="1"/>
  <c r="R43" i="1"/>
  <c r="A43" i="1" s="1"/>
  <c r="R31" i="1"/>
  <c r="S124" i="1" a="1"/>
  <c r="R44" i="1"/>
  <c r="A44" i="1" s="1"/>
  <c r="R42" i="1"/>
  <c r="A42" i="1" s="1"/>
  <c r="R40" i="1"/>
  <c r="A40" i="1" s="1"/>
  <c r="R39" i="1"/>
  <c r="A39" i="1" s="1"/>
  <c r="R38" i="1"/>
  <c r="A38" i="1" s="1"/>
  <c r="R32" i="1"/>
  <c r="A32" i="1" s="1"/>
  <c r="R30" i="1"/>
  <c r="R28" i="1"/>
  <c r="A28" i="1" s="1"/>
  <c r="R27" i="1"/>
  <c r="A27" i="1" s="1"/>
  <c r="R26" i="1"/>
  <c r="A26" i="1" s="1"/>
  <c r="R25" i="1"/>
  <c r="R24" i="1"/>
  <c r="A24" i="1" s="1"/>
  <c r="R23" i="1"/>
  <c r="A23" i="1" s="1"/>
  <c r="R22" i="1"/>
  <c r="A22" i="1" s="1"/>
  <c r="R36" i="1"/>
  <c r="A19" i="1"/>
  <c r="AH124" i="1" a="1"/>
  <c r="AG124" i="1" a="1"/>
  <c r="AE124" i="1" a="1"/>
  <c r="AD124" i="1" a="1"/>
  <c r="AC124" i="1" a="1"/>
  <c r="AB124" i="1" a="1"/>
  <c r="AA124" i="1" a="1"/>
  <c r="T124" i="1" a="1"/>
  <c r="R124" i="1" a="1"/>
  <c r="N124" i="1" a="1"/>
  <c r="L124" i="1" a="1"/>
  <c r="G124" i="1" a="1"/>
  <c r="F124" i="1" a="1"/>
  <c r="E124" i="1" a="1"/>
  <c r="D124" i="1" a="1"/>
  <c r="J137" i="1"/>
  <c r="J138" i="1" s="1"/>
  <c r="J139" i="1" s="1"/>
  <c r="J140" i="1" s="1"/>
  <c r="J141" i="1" s="1"/>
  <c r="J142" i="1" s="1"/>
  <c r="J143" i="1" s="1"/>
  <c r="J144" i="1" s="1"/>
  <c r="J145" i="1" s="1"/>
  <c r="J146" i="1" s="1"/>
  <c r="J147" i="1" s="1"/>
  <c r="J148" i="1" s="1"/>
  <c r="J149" i="1" s="1"/>
  <c r="J150" i="1" s="1"/>
  <c r="J151" i="1" s="1"/>
  <c r="J152" i="1" s="1"/>
  <c r="J153" i="1" s="1"/>
  <c r="J154" i="1" s="1"/>
  <c r="J155" i="1" s="1"/>
  <c r="F122" i="1" a="1"/>
  <c r="F122" i="1" s="1"/>
  <c r="F121" i="1" a="1"/>
  <c r="F121" i="1" s="1"/>
  <c r="R45" i="1"/>
  <c r="A45" i="1" s="1"/>
  <c r="AH123" i="1"/>
  <c r="AH122" i="1"/>
  <c r="AH121" i="1"/>
  <c r="AH120" i="1"/>
  <c r="AG123" i="1"/>
  <c r="AG122" i="1"/>
  <c r="AG121" i="1"/>
  <c r="AG120" i="1"/>
  <c r="AE123" i="1"/>
  <c r="AE122" i="1"/>
  <c r="AE121" i="1"/>
  <c r="AE120" i="1"/>
  <c r="AD123" i="1"/>
  <c r="AD122" i="1"/>
  <c r="AD121" i="1"/>
  <c r="AD120" i="1"/>
  <c r="AC123" i="1"/>
  <c r="AC122" i="1"/>
  <c r="AC121" i="1"/>
  <c r="AC120" i="1"/>
  <c r="AB123" i="1"/>
  <c r="AB122" i="1"/>
  <c r="AB121" i="1"/>
  <c r="AB120" i="1"/>
  <c r="A35" i="1"/>
  <c r="R34" i="1"/>
  <c r="A34" i="1" s="1"/>
  <c r="R20" i="1"/>
  <c r="AF122" i="1"/>
  <c r="AF121" i="1"/>
  <c r="AF123" i="1"/>
  <c r="AF120" i="1"/>
  <c r="B120" i="1"/>
  <c r="C18" i="1" s="1"/>
  <c r="A30" i="1"/>
  <c r="A25" i="1"/>
  <c r="P123" i="1"/>
  <c r="R123" i="1"/>
  <c r="P122" i="1"/>
  <c r="R122" i="1"/>
  <c r="P121" i="1"/>
  <c r="R121" i="1"/>
  <c r="P120" i="1"/>
  <c r="R120" i="1"/>
  <c r="AA120" i="1"/>
  <c r="N120" i="1"/>
  <c r="L120" i="1"/>
  <c r="H120" i="1"/>
  <c r="D123" i="1"/>
  <c r="T123" i="1"/>
  <c r="T122" i="1"/>
  <c r="T121" i="1"/>
  <c r="T120" i="1"/>
  <c r="S123" i="1"/>
  <c r="AA123" i="1"/>
  <c r="S122" i="1"/>
  <c r="AA122" i="1"/>
  <c r="S121" i="1"/>
  <c r="AA121" i="1"/>
  <c r="S120" i="1"/>
  <c r="N123" i="1"/>
  <c r="N122" i="1"/>
  <c r="N121" i="1"/>
  <c r="K123" i="1"/>
  <c r="L123" i="1"/>
  <c r="K122" i="1"/>
  <c r="L122" i="1"/>
  <c r="K121" i="1"/>
  <c r="L121" i="1"/>
  <c r="K120" i="1"/>
  <c r="J123" i="1"/>
  <c r="J122" i="1"/>
  <c r="J121" i="1"/>
  <c r="J120" i="1"/>
  <c r="I123" i="1"/>
  <c r="I122" i="1"/>
  <c r="I121" i="1"/>
  <c r="I120" i="1"/>
  <c r="H123" i="1"/>
  <c r="H122" i="1"/>
  <c r="H121" i="1"/>
  <c r="G122" i="1"/>
  <c r="G121" i="1"/>
  <c r="G123" i="1"/>
  <c r="G120" i="1"/>
  <c r="F123" i="1"/>
  <c r="E122" i="1"/>
  <c r="E121" i="1"/>
  <c r="D122" i="1"/>
  <c r="D121" i="1"/>
  <c r="C120" i="1" a="1"/>
  <c r="C120" i="1" s="1"/>
  <c r="E123" i="1"/>
  <c r="K124" i="1" a="1"/>
  <c r="J124" i="1" a="1"/>
  <c r="I124" i="1" a="1"/>
  <c r="J18" i="1" a="1"/>
  <c r="J18" i="1" s="1"/>
  <c r="J19" i="1" a="1"/>
  <c r="J19" i="1" s="1"/>
  <c r="J21" i="1" a="1"/>
  <c r="J21" i="1" s="1"/>
  <c r="J22" i="1" a="1"/>
  <c r="J22" i="1" s="1"/>
  <c r="J23" i="1" a="1"/>
  <c r="J23" i="1" s="1"/>
  <c r="J26" i="1" a="1"/>
  <c r="J26" i="1" s="1"/>
  <c r="K18" i="1" a="1"/>
  <c r="K18" i="1" s="1"/>
  <c r="K19" i="1" a="1"/>
  <c r="K19" i="1" s="1"/>
  <c r="K20" i="1" a="1"/>
  <c r="K20" i="1" s="1"/>
  <c r="K21" i="1" a="1"/>
  <c r="K21" i="1" s="1"/>
  <c r="K22" i="1" a="1"/>
  <c r="K22" i="1" s="1"/>
  <c r="K23" i="1" a="1"/>
  <c r="K23" i="1" s="1"/>
  <c r="K24" i="1" a="1"/>
  <c r="K24" i="1" s="1"/>
  <c r="K26" i="1" a="1"/>
  <c r="K26" i="1" s="1"/>
  <c r="L19" i="1" a="1"/>
  <c r="L19" i="1" s="1"/>
  <c r="L20" i="1" a="1"/>
  <c r="L20" i="1" s="1"/>
  <c r="L21" i="1" a="1"/>
  <c r="L21" i="1" s="1"/>
  <c r="L22" i="1" a="1"/>
  <c r="L22" i="1" s="1"/>
  <c r="L23" i="1" a="1"/>
  <c r="L23" i="1" s="1"/>
  <c r="L26" i="1" a="1"/>
  <c r="L26" i="1" s="1"/>
  <c r="M20" i="1" a="1"/>
  <c r="M20" i="1" s="1"/>
  <c r="M21" i="1" a="1"/>
  <c r="M21" i="1" s="1"/>
  <c r="M22" i="1" a="1"/>
  <c r="M22" i="1" s="1"/>
  <c r="M23" i="1" a="1"/>
  <c r="M23" i="1" s="1"/>
  <c r="M19" i="1" l="1" a="1"/>
  <c r="M19" i="1" s="1"/>
  <c r="M18" i="1" a="1"/>
  <c r="M18" i="1" s="1"/>
  <c r="L18" i="1" a="1"/>
  <c r="L18" i="1" s="1"/>
  <c r="J24" i="1" a="1"/>
  <c r="J24" i="1" s="1"/>
  <c r="J25" i="1" a="1"/>
  <c r="J25" i="1" s="1"/>
  <c r="M26" i="1" a="1"/>
  <c r="M26" i="1" s="1"/>
  <c r="N26" i="1" s="1"/>
  <c r="M24" i="1" a="1"/>
  <c r="M24" i="1" s="1"/>
  <c r="M29" i="1" s="1"/>
  <c r="L24" i="1" a="1"/>
  <c r="L24" i="1" s="1"/>
  <c r="L29" i="1" s="1"/>
  <c r="AG124" i="1"/>
  <c r="C44" i="1" s="1"/>
  <c r="I23" i="1" a="1"/>
  <c r="I23" i="1" s="1"/>
  <c r="N23" i="1" s="1"/>
  <c r="I25" i="1" a="1"/>
  <c r="I25" i="1" s="1"/>
  <c r="J20" i="1" a="1"/>
  <c r="J20" i="1" s="1"/>
  <c r="I21" i="1" a="1"/>
  <c r="I21" i="1" s="1"/>
  <c r="N21" i="1" s="1"/>
  <c r="AK125" i="1" a="1"/>
  <c r="AK125" i="1" s="1"/>
  <c r="AK128" i="1" s="1" a="1"/>
  <c r="AK128" i="1" s="1"/>
  <c r="X124" i="1" a="1"/>
  <c r="W124" i="1" a="1"/>
  <c r="V124" i="1" a="1"/>
  <c r="U124" i="1" a="1"/>
  <c r="U124" i="1" s="1"/>
  <c r="Y124" i="1" a="1"/>
  <c r="Z124" i="1" a="1"/>
  <c r="AL119" i="1"/>
  <c r="AI123" i="1"/>
  <c r="X126" i="1" a="1"/>
  <c r="X126" i="1" s="1"/>
  <c r="X129" i="1" s="1" a="1"/>
  <c r="X129" i="1" s="1"/>
  <c r="W125" i="1" a="1"/>
  <c r="W125" i="1" s="1"/>
  <c r="W128" i="1" s="1" a="1"/>
  <c r="W128" i="1" s="1"/>
  <c r="X125" i="1" a="1"/>
  <c r="X125" i="1" s="1"/>
  <c r="X128" i="1" s="1" a="1"/>
  <c r="X128" i="1" s="1"/>
  <c r="W126" i="1" a="1"/>
  <c r="W126" i="1" s="1"/>
  <c r="W129" i="1" s="1" a="1"/>
  <c r="W129" i="1" s="1"/>
  <c r="V125" i="1" a="1"/>
  <c r="V125" i="1" s="1"/>
  <c r="V128" i="1" s="1" a="1"/>
  <c r="V128" i="1" s="1"/>
  <c r="Z126" i="1" a="1"/>
  <c r="Z126" i="1" s="1"/>
  <c r="Z129" i="1" s="1" a="1"/>
  <c r="Z129" i="1" s="1"/>
  <c r="Y126" i="1" a="1"/>
  <c r="Y126" i="1" s="1"/>
  <c r="Y129" i="1" s="1" a="1"/>
  <c r="Y129" i="1" s="1"/>
  <c r="V126" i="1" a="1"/>
  <c r="V126" i="1" s="1"/>
  <c r="V129" i="1" s="1" a="1"/>
  <c r="V129" i="1" s="1"/>
  <c r="U125" i="1" a="1"/>
  <c r="U125" i="1" s="1"/>
  <c r="U128" i="1" s="1" a="1"/>
  <c r="U128" i="1" s="1"/>
  <c r="U126" i="1" a="1"/>
  <c r="U126" i="1" s="1"/>
  <c r="U129" i="1" s="1" a="1"/>
  <c r="U129" i="1" s="1"/>
  <c r="Z125" i="1" a="1"/>
  <c r="Z125" i="1" s="1"/>
  <c r="Z128" i="1" s="1" a="1"/>
  <c r="Z128" i="1" s="1"/>
  <c r="Y125" i="1" a="1"/>
  <c r="Y125" i="1" s="1"/>
  <c r="Y128" i="1" s="1" a="1"/>
  <c r="Y128" i="1" s="1"/>
  <c r="Y124" i="1"/>
  <c r="AI126" i="1" a="1"/>
  <c r="AI126" i="1" s="1"/>
  <c r="AJ117" i="1"/>
  <c r="X124" i="1"/>
  <c r="D124" i="1"/>
  <c r="W124" i="1"/>
  <c r="V124" i="1"/>
  <c r="Z124" i="1"/>
  <c r="AJ119" i="1"/>
  <c r="AL117" i="1"/>
  <c r="AK126" i="1" a="1"/>
  <c r="AK126" i="1" s="1"/>
  <c r="AK129" i="1" s="1" a="1"/>
  <c r="AK129" i="1" s="1"/>
  <c r="O124" i="1" a="1"/>
  <c r="O124" i="1" s="1"/>
  <c r="Q124" i="1" a="1"/>
  <c r="Q124" i="1" s="1"/>
  <c r="AK122" i="1" a="1"/>
  <c r="AK122" i="1" s="1"/>
  <c r="I22" i="1" a="1"/>
  <c r="I22" i="1" s="1"/>
  <c r="N22" i="1" s="1"/>
  <c r="AH124" i="1"/>
  <c r="C45" i="1" s="1"/>
  <c r="S124" i="1"/>
  <c r="C31" i="1" s="1"/>
  <c r="I20" i="1" a="1"/>
  <c r="I20" i="1" s="1"/>
  <c r="N20" i="1" s="1"/>
  <c r="AI125" i="1" a="1"/>
  <c r="AI125" i="1" s="1"/>
  <c r="E124" i="1"/>
  <c r="AK124" i="1" a="1"/>
  <c r="AK124" i="1" s="1"/>
  <c r="C33" i="1" s="1"/>
  <c r="I19" i="1" a="1"/>
  <c r="I19" i="1" s="1"/>
  <c r="N19" i="1" s="1"/>
  <c r="AB124" i="1"/>
  <c r="C38" i="1" s="1"/>
  <c r="F124" i="1"/>
  <c r="AC124" i="1"/>
  <c r="C39" i="1" s="1"/>
  <c r="AI124" i="1"/>
  <c r="C20" i="1" s="1"/>
  <c r="O126" i="1" a="1"/>
  <c r="O126" i="1" s="1"/>
  <c r="O129" i="1" s="1" a="1"/>
  <c r="O129" i="1" s="1"/>
  <c r="Q126" i="1" a="1"/>
  <c r="Q126" i="1" s="1"/>
  <c r="Q129" i="1" s="1" a="1"/>
  <c r="Q129" i="1" s="1"/>
  <c r="O125" i="1" a="1"/>
  <c r="O125" i="1" s="1"/>
  <c r="O128" i="1" s="1" a="1"/>
  <c r="O128" i="1" s="1"/>
  <c r="Q125" i="1" a="1"/>
  <c r="Q125" i="1" s="1"/>
  <c r="Q128" i="1" s="1" a="1"/>
  <c r="Q128" i="1" s="1"/>
  <c r="I18" i="1" a="1"/>
  <c r="I18" i="1" s="1"/>
  <c r="N18" i="1" s="1"/>
  <c r="AA124" i="1"/>
  <c r="C34" i="1" s="1"/>
  <c r="G124" i="1"/>
  <c r="AD124" i="1"/>
  <c r="C40" i="1" s="1"/>
  <c r="AJ118" i="1"/>
  <c r="L125" i="1" a="1"/>
  <c r="L125" i="1" s="1"/>
  <c r="D26" i="1" s="1"/>
  <c r="T124" i="1"/>
  <c r="C32" i="1" s="1"/>
  <c r="L124" i="1"/>
  <c r="C26" i="1" s="1"/>
  <c r="AE124" i="1"/>
  <c r="C42" i="1" s="1"/>
  <c r="I26" i="1" a="1"/>
  <c r="I26" i="1" s="1"/>
  <c r="I24" i="1" a="1"/>
  <c r="I24" i="1" s="1"/>
  <c r="J124" i="1"/>
  <c r="C24" i="1" s="1"/>
  <c r="R124" i="1"/>
  <c r="C30" i="1" s="1"/>
  <c r="AI122" i="1"/>
  <c r="AM118" i="1"/>
  <c r="AL118" i="1"/>
  <c r="R126" i="1" a="1"/>
  <c r="R126" i="1" s="1"/>
  <c r="E30" i="1" s="1"/>
  <c r="I124" i="1"/>
  <c r="C23" i="1" s="1"/>
  <c r="AK121" i="1" a="1"/>
  <c r="AK121" i="1" s="1"/>
  <c r="K124" i="1"/>
  <c r="C25" i="1" s="1"/>
  <c r="N124" i="1"/>
  <c r="C27" i="1" s="1"/>
  <c r="AG126" i="1" a="1"/>
  <c r="AG126" i="1" s="1"/>
  <c r="E44" i="1" s="1"/>
  <c r="AC125" i="1" a="1"/>
  <c r="AC125" i="1" s="1"/>
  <c r="G126" i="1" a="1"/>
  <c r="G126" i="1" s="1"/>
  <c r="G129" i="1" s="1" a="1"/>
  <c r="G129" i="1" s="1"/>
  <c r="M125" i="1" a="1"/>
  <c r="M125" i="1" s="1"/>
  <c r="M128" i="1" s="1" a="1"/>
  <c r="M128" i="1" s="1"/>
  <c r="M126" i="1" a="1"/>
  <c r="M126" i="1" s="1"/>
  <c r="M129" i="1" s="1" a="1"/>
  <c r="M129" i="1" s="1"/>
  <c r="M124" i="1" a="1"/>
  <c r="M124" i="1" s="1"/>
  <c r="J27" i="1"/>
  <c r="AK120" i="1"/>
  <c r="B182" i="1"/>
  <c r="D126" i="1" a="1"/>
  <c r="D126" i="1" s="1"/>
  <c r="D129" i="1" s="1" a="1"/>
  <c r="D129" i="1" s="1"/>
  <c r="K27" i="1"/>
  <c r="L27" i="1"/>
  <c r="K29" i="1"/>
  <c r="A31" i="1"/>
  <c r="H124" i="1" a="1"/>
  <c r="H124" i="1" s="1"/>
  <c r="C22" i="1" s="1"/>
  <c r="AN116" i="1"/>
  <c r="AN117" i="1"/>
  <c r="AO117" i="1" s="1"/>
  <c r="E125" i="1" a="1"/>
  <c r="E125" i="1" s="1"/>
  <c r="E128" i="1" s="1" a="1"/>
  <c r="E128" i="1" s="1"/>
  <c r="N125" i="1" a="1"/>
  <c r="N125" i="1" s="1"/>
  <c r="AD125" i="1" a="1"/>
  <c r="AD125" i="1" s="1"/>
  <c r="H126" i="1" a="1"/>
  <c r="H126" i="1" s="1"/>
  <c r="S126" i="1" a="1"/>
  <c r="S126" i="1" s="1"/>
  <c r="S129" i="1" s="1" a="1"/>
  <c r="S129" i="1" s="1"/>
  <c r="AL116" i="1"/>
  <c r="AH126" i="1" a="1"/>
  <c r="AH126" i="1" s="1"/>
  <c r="H125" i="1" a="1"/>
  <c r="H125" i="1" s="1"/>
  <c r="S125" i="1" a="1"/>
  <c r="S125" i="1" s="1"/>
  <c r="S128" i="1" s="1" a="1"/>
  <c r="S128" i="1" s="1"/>
  <c r="AG125" i="1" a="1"/>
  <c r="AG125" i="1" s="1"/>
  <c r="K126" i="1" a="1"/>
  <c r="K126" i="1" s="1"/>
  <c r="AC126" i="1" a="1"/>
  <c r="AC126" i="1" s="1"/>
  <c r="AI120" i="1"/>
  <c r="Z127" i="1" s="1" a="1"/>
  <c r="D125" i="1" a="1"/>
  <c r="D125" i="1" s="1"/>
  <c r="D128" i="1" s="1" a="1"/>
  <c r="D128" i="1" s="1"/>
  <c r="K125" i="1" a="1"/>
  <c r="K125" i="1" s="1"/>
  <c r="AB125" i="1" a="1"/>
  <c r="AB125" i="1" s="1"/>
  <c r="F126" i="1" a="1"/>
  <c r="F126" i="1" s="1"/>
  <c r="F129" i="1" s="1" a="1"/>
  <c r="F129" i="1" s="1"/>
  <c r="P126" i="1" a="1"/>
  <c r="P126" i="1" s="1"/>
  <c r="AF126" i="1" a="1"/>
  <c r="AF126" i="1" s="1"/>
  <c r="AF129" i="1" s="1" a="1"/>
  <c r="AF129" i="1" s="1"/>
  <c r="F125" i="1" a="1"/>
  <c r="F125" i="1" s="1"/>
  <c r="F128" i="1" s="1" a="1"/>
  <c r="F128" i="1" s="1"/>
  <c r="P125" i="1" a="1"/>
  <c r="P125" i="1" s="1"/>
  <c r="AE125" i="1" a="1"/>
  <c r="AE125" i="1" s="1"/>
  <c r="I126" i="1" a="1"/>
  <c r="I126" i="1" s="1"/>
  <c r="T126" i="1" a="1"/>
  <c r="T126" i="1" s="1"/>
  <c r="AA126" i="1" a="1"/>
  <c r="AA126" i="1" s="1"/>
  <c r="I125" i="1" a="1"/>
  <c r="I125" i="1" s="1"/>
  <c r="T125" i="1" a="1"/>
  <c r="T125" i="1" s="1"/>
  <c r="AH125" i="1" a="1"/>
  <c r="AH125" i="1" s="1"/>
  <c r="L126" i="1" a="1"/>
  <c r="L126" i="1" s="1"/>
  <c r="AD126" i="1" a="1"/>
  <c r="AD126" i="1" s="1"/>
  <c r="AI121" i="1"/>
  <c r="P124" i="1" a="1"/>
  <c r="P124" i="1" s="1"/>
  <c r="C28" i="1" s="1"/>
  <c r="AF124" i="1" a="1"/>
  <c r="AF124" i="1" s="1"/>
  <c r="C43" i="1" s="1"/>
  <c r="AM116" i="1"/>
  <c r="G125" i="1" a="1"/>
  <c r="G125" i="1" s="1"/>
  <c r="G128" i="1" s="1" a="1"/>
  <c r="G128" i="1" s="1"/>
  <c r="R125" i="1" a="1"/>
  <c r="R125" i="1" s="1"/>
  <c r="AF125" i="1" a="1"/>
  <c r="AF125" i="1" s="1"/>
  <c r="J126" i="1" a="1"/>
  <c r="J126" i="1" s="1"/>
  <c r="AB126" i="1" a="1"/>
  <c r="AB126" i="1" s="1"/>
  <c r="AN119" i="1"/>
  <c r="AO119" i="1" s="1"/>
  <c r="J125" i="1" a="1"/>
  <c r="J125" i="1" s="1"/>
  <c r="AA125" i="1" a="1"/>
  <c r="AA125" i="1" s="1"/>
  <c r="AA128" i="1" s="1" a="1"/>
  <c r="AA128" i="1" s="1"/>
  <c r="E126" i="1" a="1"/>
  <c r="E126" i="1" s="1"/>
  <c r="E129" i="1" s="1" a="1"/>
  <c r="E129" i="1" s="1"/>
  <c r="N126" i="1" a="1"/>
  <c r="N126" i="1" s="1"/>
  <c r="N129" i="1" s="1" a="1"/>
  <c r="N129" i="1" s="1"/>
  <c r="AE126" i="1" a="1"/>
  <c r="AE126" i="1" s="1"/>
  <c r="J29" i="1" l="1"/>
  <c r="N25" i="1"/>
  <c r="M27" i="1"/>
  <c r="N24" i="1"/>
  <c r="D33" i="1"/>
  <c r="W127" i="1" a="1"/>
  <c r="X127" i="1" a="1"/>
  <c r="Y127" i="1" a="1"/>
  <c r="V127" i="1" a="1"/>
  <c r="U127" i="1" a="1"/>
  <c r="U127" i="1" s="1"/>
  <c r="AJ121" i="1" a="1"/>
  <c r="AJ121" i="1" s="1"/>
  <c r="A135" i="1" s="1"/>
  <c r="M127" i="1" a="1"/>
  <c r="M127" i="1" s="1"/>
  <c r="W127" i="1"/>
  <c r="X127" i="1"/>
  <c r="Y127" i="1"/>
  <c r="V127" i="1"/>
  <c r="Z127" i="1"/>
  <c r="E33" i="1"/>
  <c r="AK127" i="1"/>
  <c r="F33" i="1" s="1"/>
  <c r="N29" i="1"/>
  <c r="R129" i="1" a="1"/>
  <c r="R129" i="1" s="1"/>
  <c r="AH127" i="1" a="1"/>
  <c r="AH127" i="1" s="1"/>
  <c r="F45" i="1" s="1"/>
  <c r="T127" i="1" a="1"/>
  <c r="T127" i="1" s="1"/>
  <c r="F32" i="1" s="1"/>
  <c r="Q127" i="1" a="1"/>
  <c r="Q127" i="1" s="1"/>
  <c r="L128" i="1" a="1"/>
  <c r="L128" i="1" s="1"/>
  <c r="O127" i="1" a="1"/>
  <c r="O127" i="1" s="1"/>
  <c r="I29" i="1"/>
  <c r="AG129" i="1" a="1"/>
  <c r="AG129" i="1" s="1"/>
  <c r="I27" i="1"/>
  <c r="N27" i="1" s="1"/>
  <c r="O24" i="1" s="1" a="1"/>
  <c r="AC128" i="1" a="1"/>
  <c r="AC128" i="1" s="1"/>
  <c r="D39" i="1"/>
  <c r="AJ122" i="1" a="1"/>
  <c r="AJ122" i="1" s="1"/>
  <c r="L129" i="1" a="1"/>
  <c r="L129" i="1" s="1"/>
  <c r="E26" i="1"/>
  <c r="AA129" i="1" a="1"/>
  <c r="AA129" i="1" s="1"/>
  <c r="E34" i="1"/>
  <c r="P129" i="1" a="1"/>
  <c r="P129" i="1" s="1"/>
  <c r="E28" i="1"/>
  <c r="H128" i="1" a="1"/>
  <c r="H128" i="1" s="1"/>
  <c r="D22" i="1"/>
  <c r="E43" i="1"/>
  <c r="AB129" i="1" a="1"/>
  <c r="AB129" i="1" s="1"/>
  <c r="E38" i="1"/>
  <c r="AH128" i="1" a="1"/>
  <c r="AH128" i="1" s="1"/>
  <c r="D45" i="1"/>
  <c r="T129" i="1" a="1"/>
  <c r="T129" i="1" s="1"/>
  <c r="E32" i="1"/>
  <c r="J129" i="1" a="1"/>
  <c r="J129" i="1" s="1"/>
  <c r="E24" i="1"/>
  <c r="T128" i="1" a="1"/>
  <c r="T128" i="1" s="1"/>
  <c r="D32" i="1"/>
  <c r="I129" i="1" a="1"/>
  <c r="I129" i="1" s="1"/>
  <c r="E23" i="1"/>
  <c r="AB128" i="1" a="1"/>
  <c r="AB128" i="1" s="1"/>
  <c r="D38" i="1"/>
  <c r="AH129" i="1" a="1"/>
  <c r="AH129" i="1" s="1"/>
  <c r="E45" i="1"/>
  <c r="O22" i="1" a="1"/>
  <c r="AE129" i="1" a="1"/>
  <c r="AE129" i="1" s="1"/>
  <c r="E42" i="1"/>
  <c r="AF128" i="1" a="1"/>
  <c r="AF128" i="1" s="1"/>
  <c r="D43" i="1"/>
  <c r="I128" i="1" a="1"/>
  <c r="I128" i="1" s="1"/>
  <c r="D23" i="1"/>
  <c r="AE128" i="1" a="1"/>
  <c r="AE128" i="1" s="1"/>
  <c r="D42" i="1"/>
  <c r="K128" i="1" a="1"/>
  <c r="K128" i="1" s="1"/>
  <c r="D25" i="1"/>
  <c r="S127" i="1" a="1"/>
  <c r="S127" i="1" s="1"/>
  <c r="F31" i="1" s="1"/>
  <c r="AF127" i="1" a="1"/>
  <c r="AF127" i="1" s="1"/>
  <c r="F43" i="1" s="1"/>
  <c r="P127" i="1" a="1"/>
  <c r="P127" i="1" s="1"/>
  <c r="F28" i="1" s="1"/>
  <c r="AD127" i="1" a="1"/>
  <c r="AD127" i="1" s="1"/>
  <c r="F40" i="1" s="1"/>
  <c r="L127" i="1" a="1"/>
  <c r="L127" i="1" s="1"/>
  <c r="F26" i="1" s="1"/>
  <c r="AE127" i="1" a="1"/>
  <c r="AE127" i="1" s="1"/>
  <c r="F42" i="1" s="1"/>
  <c r="F127" i="1" a="1"/>
  <c r="F127" i="1" s="1"/>
  <c r="A124" i="1"/>
  <c r="AB127" i="1" a="1"/>
  <c r="AB127" i="1" s="1"/>
  <c r="F38" i="1" s="1"/>
  <c r="H127" i="1" a="1"/>
  <c r="H127" i="1" s="1"/>
  <c r="F22" i="1" s="1"/>
  <c r="AC127" i="1" a="1"/>
  <c r="AC127" i="1" s="1"/>
  <c r="F39" i="1" s="1"/>
  <c r="E127" i="1" a="1"/>
  <c r="E127" i="1" s="1"/>
  <c r="AI129" i="1" a="1"/>
  <c r="AI129" i="1" s="1"/>
  <c r="F21" i="1" s="1"/>
  <c r="AL123" i="1" a="1"/>
  <c r="AL123" i="1" s="1"/>
  <c r="K127" i="1" a="1"/>
  <c r="K127" i="1" s="1"/>
  <c r="F25" i="1" s="1"/>
  <c r="AA127" i="1" a="1"/>
  <c r="AA127" i="1" s="1"/>
  <c r="F34" i="1" s="1"/>
  <c r="AM123" i="1" a="1"/>
  <c r="AM123" i="1" s="1"/>
  <c r="R127" i="1" a="1"/>
  <c r="R127" i="1" s="1"/>
  <c r="F30" i="1" s="1"/>
  <c r="D127" i="1" a="1"/>
  <c r="D127" i="1" s="1"/>
  <c r="J127" i="1" a="1"/>
  <c r="J127" i="1" s="1"/>
  <c r="F24" i="1" s="1"/>
  <c r="AI127" i="1" a="1"/>
  <c r="AI127" i="1" s="1"/>
  <c r="N127" i="1" a="1"/>
  <c r="N127" i="1" s="1"/>
  <c r="F27" i="1" s="1"/>
  <c r="G127" i="1" a="1"/>
  <c r="G127" i="1" s="1"/>
  <c r="AG127" i="1" a="1"/>
  <c r="AG127" i="1" s="1"/>
  <c r="F44" i="1" s="1"/>
  <c r="I127" i="1" a="1"/>
  <c r="I127" i="1" s="1"/>
  <c r="F23" i="1" s="1"/>
  <c r="AJ123" i="1" a="1"/>
  <c r="AJ123" i="1" s="1"/>
  <c r="AK123" i="1" a="1"/>
  <c r="AK123" i="1" s="1"/>
  <c r="AL120" i="1"/>
  <c r="AL122" i="1" a="1"/>
  <c r="AL122" i="1" s="1"/>
  <c r="AL125" i="1" a="1"/>
  <c r="AL125" i="1" s="1"/>
  <c r="AL121" i="1" a="1"/>
  <c r="AL121" i="1" s="1"/>
  <c r="AL126" i="1" a="1"/>
  <c r="AL126" i="1" s="1"/>
  <c r="AL124" i="1" a="1"/>
  <c r="AL124" i="1" s="1"/>
  <c r="AL127" i="1" s="1"/>
  <c r="H129" i="1" a="1"/>
  <c r="H129" i="1" s="1"/>
  <c r="E22" i="1"/>
  <c r="C124" i="1" a="1"/>
  <c r="C124" i="1" s="1"/>
  <c r="E27" i="1"/>
  <c r="R128" i="1" a="1"/>
  <c r="R128" i="1" s="1"/>
  <c r="D30" i="1"/>
  <c r="AM124" i="1" a="1"/>
  <c r="AM124" i="1" s="1"/>
  <c r="AM127" i="1" s="1"/>
  <c r="AM120" i="1"/>
  <c r="AM125" i="1" a="1"/>
  <c r="AM125" i="1" s="1"/>
  <c r="AM126" i="1" a="1"/>
  <c r="AM126" i="1" s="1"/>
  <c r="AM122" i="1" a="1"/>
  <c r="AM122" i="1" s="1"/>
  <c r="AM121" i="1" a="1"/>
  <c r="AM121" i="1" s="1"/>
  <c r="P128" i="1" a="1"/>
  <c r="P128" i="1" s="1"/>
  <c r="D28" i="1"/>
  <c r="AC129" i="1" a="1"/>
  <c r="AC129" i="1" s="1"/>
  <c r="E39" i="1"/>
  <c r="AD128" i="1" a="1"/>
  <c r="AD128" i="1" s="1"/>
  <c r="D40" i="1"/>
  <c r="E31" i="1"/>
  <c r="AJ126" i="1" a="1"/>
  <c r="AJ126" i="1" s="1"/>
  <c r="AJ129" i="1" s="1" a="1"/>
  <c r="AJ129" i="1" s="1"/>
  <c r="AJ124" i="1" a="1"/>
  <c r="AJ124" i="1" s="1"/>
  <c r="AJ127" i="1" s="1"/>
  <c r="AJ125" i="1" a="1"/>
  <c r="AJ125" i="1" s="1"/>
  <c r="AJ128" i="1" s="1" a="1"/>
  <c r="AJ128" i="1" s="1"/>
  <c r="AJ120" i="1"/>
  <c r="AI128" i="1" s="1"/>
  <c r="F20" i="1" s="1"/>
  <c r="K129" i="1" a="1"/>
  <c r="K129" i="1" s="1"/>
  <c r="E25" i="1"/>
  <c r="N128" i="1" a="1"/>
  <c r="N128" i="1" s="1"/>
  <c r="D27" i="1"/>
  <c r="D34" i="1"/>
  <c r="AG128" i="1" a="1"/>
  <c r="AG128" i="1" s="1"/>
  <c r="D44" i="1"/>
  <c r="AN120" i="1"/>
  <c r="AN129" i="1" s="1" a="1"/>
  <c r="AN129" i="1" s="1"/>
  <c r="F37" i="1" s="1"/>
  <c r="AN127" i="1" a="1"/>
  <c r="AN127" i="1" s="1"/>
  <c r="AN122" i="1"/>
  <c r="AN123" i="1"/>
  <c r="AN124" i="1" a="1"/>
  <c r="AN124" i="1" s="1"/>
  <c r="C36" i="1" s="1"/>
  <c r="AN125" i="1" a="1"/>
  <c r="AN125" i="1" s="1"/>
  <c r="AN126" i="1" a="1"/>
  <c r="AN126" i="1" s="1"/>
  <c r="AO116" i="1"/>
  <c r="AN121" i="1"/>
  <c r="J128" i="1" a="1"/>
  <c r="J128" i="1" s="1"/>
  <c r="D24" i="1"/>
  <c r="AD129" i="1" a="1"/>
  <c r="AD129" i="1" s="1"/>
  <c r="E40" i="1"/>
  <c r="D31" i="1"/>
  <c r="O25" i="1" l="1"/>
  <c r="A134" i="1"/>
  <c r="O20" i="1" a="1"/>
  <c r="O20" i="1" s="1"/>
  <c r="O21" i="1" a="1"/>
  <c r="O23" i="1" a="1"/>
  <c r="O23" i="1" s="1"/>
  <c r="O22" i="1"/>
  <c r="O24" i="1"/>
  <c r="O21" i="1"/>
  <c r="E135" i="1"/>
  <c r="E134" i="1"/>
  <c r="K135" i="1" a="1"/>
  <c r="K135" i="1" s="1"/>
  <c r="M135" i="1" a="1"/>
  <c r="M135" i="1" s="1"/>
  <c r="A136" i="1"/>
  <c r="L135" i="1" a="1"/>
  <c r="L135" i="1" s="1"/>
  <c r="H135" i="1"/>
  <c r="H134" i="1"/>
  <c r="AO123" i="1"/>
  <c r="AO127" i="1" a="1"/>
  <c r="AO127" i="1" s="1"/>
  <c r="AO120" i="1"/>
  <c r="AN128" i="1" s="1"/>
  <c r="F36" i="1" s="1"/>
  <c r="AO124" i="1" a="1"/>
  <c r="AO124" i="1" s="1"/>
  <c r="AO125" i="1" a="1"/>
  <c r="AO125" i="1" s="1"/>
  <c r="AO128" i="1" s="1" a="1"/>
  <c r="AO128" i="1" s="1"/>
  <c r="AO122" i="1"/>
  <c r="AO126" i="1" a="1"/>
  <c r="AO126" i="1" s="1"/>
  <c r="AO129" i="1" s="1" a="1"/>
  <c r="AO129" i="1" s="1"/>
  <c r="AO121" i="1"/>
  <c r="C135" i="1" l="1"/>
  <c r="D135" i="1"/>
  <c r="H136" i="1"/>
  <c r="H137" i="1" s="1"/>
  <c r="H138" i="1" s="1"/>
  <c r="H139" i="1" s="1"/>
  <c r="H140" i="1" s="1"/>
  <c r="H141" i="1" s="1"/>
  <c r="H142" i="1" s="1"/>
  <c r="H143" i="1" s="1"/>
  <c r="H144" i="1" s="1"/>
  <c r="H145" i="1" s="1"/>
  <c r="H146" i="1" s="1"/>
  <c r="H147" i="1" s="1"/>
  <c r="H148" i="1" s="1"/>
  <c r="H149" i="1" s="1"/>
  <c r="H150" i="1" s="1"/>
  <c r="H151" i="1" s="1"/>
  <c r="H152" i="1" s="1"/>
  <c r="H153" i="1" s="1"/>
  <c r="H154" i="1" s="1"/>
  <c r="H155" i="1" s="1"/>
  <c r="K136" i="1" a="1"/>
  <c r="K136" i="1" s="1"/>
  <c r="L136" i="1" a="1"/>
  <c r="L136" i="1" s="1"/>
  <c r="A137" i="1"/>
  <c r="M136" i="1" a="1"/>
  <c r="M136" i="1" s="1"/>
  <c r="E136" i="1"/>
  <c r="N135" i="1" a="1"/>
  <c r="N135" i="1" s="1"/>
  <c r="O135" i="1" a="1"/>
  <c r="O135" i="1" s="1"/>
  <c r="I135" i="1" l="1" a="1"/>
  <c r="I149" i="1" s="1"/>
  <c r="G135" i="1"/>
  <c r="E137" i="1"/>
  <c r="N136" i="1" a="1"/>
  <c r="N136" i="1" s="1"/>
  <c r="O136" i="1" a="1"/>
  <c r="O136" i="1" s="1"/>
  <c r="A138" i="1"/>
  <c r="M137" i="1" a="1"/>
  <c r="M137" i="1" s="1"/>
  <c r="K137" i="1" a="1"/>
  <c r="K137" i="1" s="1"/>
  <c r="L137" i="1" a="1"/>
  <c r="L137" i="1" s="1"/>
  <c r="D136" i="1"/>
  <c r="C136" i="1"/>
  <c r="I146" i="1" l="1"/>
  <c r="I136" i="1"/>
  <c r="G136" i="1"/>
  <c r="I138" i="1"/>
  <c r="I147" i="1"/>
  <c r="I144" i="1"/>
  <c r="I150" i="1"/>
  <c r="I135" i="1"/>
  <c r="I152" i="1"/>
  <c r="I140" i="1"/>
  <c r="I141" i="1"/>
  <c r="I139" i="1"/>
  <c r="I148" i="1"/>
  <c r="I137" i="1"/>
  <c r="I151" i="1"/>
  <c r="I145" i="1"/>
  <c r="I142" i="1"/>
  <c r="I154" i="1"/>
  <c r="I153" i="1"/>
  <c r="I155" i="1"/>
  <c r="I143" i="1"/>
  <c r="C137" i="1"/>
  <c r="D137" i="1"/>
  <c r="K138" i="1" a="1"/>
  <c r="K138" i="1" s="1"/>
  <c r="A139" i="1"/>
  <c r="L138" i="1" a="1"/>
  <c r="L138" i="1" s="1"/>
  <c r="M138" i="1" a="1"/>
  <c r="M138" i="1" s="1"/>
  <c r="N137" i="1" a="1"/>
  <c r="N137" i="1" s="1"/>
  <c r="O137" i="1" a="1"/>
  <c r="O137" i="1" s="1"/>
  <c r="E138" i="1"/>
  <c r="G137" i="1" l="1"/>
  <c r="E139" i="1"/>
  <c r="N138" i="1" a="1"/>
  <c r="N138" i="1" s="1"/>
  <c r="O138" i="1" a="1"/>
  <c r="O138" i="1" s="1"/>
  <c r="A140" i="1"/>
  <c r="K139" i="1" a="1"/>
  <c r="K139" i="1" s="1"/>
  <c r="M139" i="1" a="1"/>
  <c r="M139" i="1" s="1"/>
  <c r="L139" i="1" a="1"/>
  <c r="L139" i="1" s="1"/>
  <c r="D138" i="1"/>
  <c r="C138" i="1"/>
  <c r="C139" i="1" l="1"/>
  <c r="D139" i="1"/>
  <c r="A141" i="1"/>
  <c r="L140" i="1" a="1"/>
  <c r="L140" i="1" s="1"/>
  <c r="K140" i="1" a="1"/>
  <c r="K140" i="1" s="1"/>
  <c r="M140" i="1" a="1"/>
  <c r="M140" i="1" s="1"/>
  <c r="G138" i="1"/>
  <c r="O139" i="1" a="1"/>
  <c r="O139" i="1" s="1"/>
  <c r="E140" i="1"/>
  <c r="N139" i="1" a="1"/>
  <c r="N139" i="1" s="1"/>
  <c r="G139" i="1" l="1"/>
  <c r="C140" i="1"/>
  <c r="D140" i="1"/>
  <c r="A142" i="1"/>
  <c r="M141" i="1" a="1"/>
  <c r="M141" i="1" s="1"/>
  <c r="K141" i="1" a="1"/>
  <c r="K141" i="1" s="1"/>
  <c r="L141" i="1" a="1"/>
  <c r="L141" i="1" s="1"/>
  <c r="N140" i="1" a="1"/>
  <c r="N140" i="1" s="1"/>
  <c r="E141" i="1"/>
  <c r="O140" i="1" a="1"/>
  <c r="O140" i="1" s="1"/>
  <c r="G140" i="1" l="1"/>
  <c r="D141" i="1"/>
  <c r="C141" i="1"/>
  <c r="O141" i="1" a="1"/>
  <c r="O141" i="1" s="1"/>
  <c r="E142" i="1"/>
  <c r="N141" i="1" a="1"/>
  <c r="N141" i="1" s="1"/>
  <c r="L142" i="1" a="1"/>
  <c r="L142" i="1" s="1"/>
  <c r="A143" i="1"/>
  <c r="M142" i="1" a="1"/>
  <c r="M142" i="1" s="1"/>
  <c r="K142" i="1" a="1"/>
  <c r="K142" i="1" s="1"/>
  <c r="G141" i="1" l="1"/>
  <c r="O142" i="1" a="1"/>
  <c r="O142" i="1" s="1"/>
  <c r="N142" i="1" a="1"/>
  <c r="N142" i="1" s="1"/>
  <c r="E143" i="1"/>
  <c r="C142" i="1"/>
  <c r="D142" i="1"/>
  <c r="L143" i="1" a="1"/>
  <c r="L143" i="1" s="1"/>
  <c r="A144" i="1"/>
  <c r="M143" i="1" a="1"/>
  <c r="M143" i="1" s="1"/>
  <c r="K143" i="1" a="1"/>
  <c r="K143" i="1" s="1"/>
  <c r="G142" i="1" l="1"/>
  <c r="D143" i="1"/>
  <c r="C143" i="1"/>
  <c r="L144" i="1" a="1"/>
  <c r="L144" i="1" s="1"/>
  <c r="K144" i="1" a="1"/>
  <c r="K144" i="1" s="1"/>
  <c r="A145" i="1"/>
  <c r="M144" i="1" a="1"/>
  <c r="M144" i="1" s="1"/>
  <c r="O143" i="1" a="1"/>
  <c r="O143" i="1" s="1"/>
  <c r="E144" i="1"/>
  <c r="N143" i="1" a="1"/>
  <c r="N143" i="1" s="1"/>
  <c r="E145" i="1" l="1"/>
  <c r="O144" i="1" a="1"/>
  <c r="O144" i="1" s="1"/>
  <c r="N144" i="1" a="1"/>
  <c r="N144" i="1" s="1"/>
  <c r="A146" i="1"/>
  <c r="M145" i="1" a="1"/>
  <c r="M145" i="1" s="1"/>
  <c r="L145" i="1" a="1"/>
  <c r="L145" i="1" s="1"/>
  <c r="K145" i="1" a="1"/>
  <c r="K145" i="1" s="1"/>
  <c r="D144" i="1"/>
  <c r="C144" i="1"/>
  <c r="G143" i="1"/>
  <c r="G144" i="1" l="1"/>
  <c r="D145" i="1"/>
  <c r="C145" i="1"/>
  <c r="K146" i="1" a="1"/>
  <c r="K146" i="1" s="1"/>
  <c r="L146" i="1" a="1"/>
  <c r="L146" i="1" s="1"/>
  <c r="A147" i="1"/>
  <c r="M146" i="1" a="1"/>
  <c r="M146" i="1" s="1"/>
  <c r="E146" i="1"/>
  <c r="N145" i="1" a="1"/>
  <c r="N145" i="1" s="1"/>
  <c r="G145" i="1" s="1"/>
  <c r="O145" i="1" a="1"/>
  <c r="O145" i="1" s="1"/>
  <c r="E147" i="1" l="1"/>
  <c r="N146" i="1" a="1"/>
  <c r="N146" i="1" s="1"/>
  <c r="O146" i="1" a="1"/>
  <c r="O146" i="1" s="1"/>
  <c r="A148" i="1"/>
  <c r="M147" i="1" a="1"/>
  <c r="M147" i="1" s="1"/>
  <c r="K147" i="1" a="1"/>
  <c r="K147" i="1" s="1"/>
  <c r="L147" i="1" a="1"/>
  <c r="L147" i="1" s="1"/>
  <c r="D146" i="1"/>
  <c r="C146" i="1"/>
  <c r="G146" i="1" l="1"/>
  <c r="C147" i="1"/>
  <c r="D147" i="1"/>
  <c r="K148" i="1" a="1"/>
  <c r="K148" i="1" s="1"/>
  <c r="M148" i="1" a="1"/>
  <c r="M148" i="1" s="1"/>
  <c r="A149" i="1"/>
  <c r="L148" i="1" a="1"/>
  <c r="L148" i="1" s="1"/>
  <c r="E148" i="1"/>
  <c r="N147" i="1" a="1"/>
  <c r="N147" i="1" s="1"/>
  <c r="O147" i="1" a="1"/>
  <c r="O147" i="1" s="1"/>
  <c r="G147" i="1" l="1"/>
  <c r="O148" i="1" a="1"/>
  <c r="O148" i="1" s="1"/>
  <c r="N148" i="1" a="1"/>
  <c r="N148" i="1" s="1"/>
  <c r="G148" i="1" s="1"/>
  <c r="E149" i="1"/>
  <c r="A150" i="1"/>
  <c r="M149" i="1" a="1"/>
  <c r="M149" i="1" s="1"/>
  <c r="K149" i="1" a="1"/>
  <c r="K149" i="1" s="1"/>
  <c r="L149" i="1" a="1"/>
  <c r="L149" i="1" s="1"/>
  <c r="C148" i="1"/>
  <c r="D148" i="1"/>
  <c r="K150" i="1" l="1" a="1"/>
  <c r="K150" i="1" s="1"/>
  <c r="L150" i="1" a="1"/>
  <c r="L150" i="1" s="1"/>
  <c r="A151" i="1"/>
  <c r="M150" i="1" a="1"/>
  <c r="M150" i="1" s="1"/>
  <c r="C149" i="1"/>
  <c r="D149" i="1"/>
  <c r="E150" i="1"/>
  <c r="N149" i="1" a="1"/>
  <c r="N149" i="1" s="1"/>
  <c r="O149" i="1" a="1"/>
  <c r="O149" i="1" s="1"/>
  <c r="G149" i="1" l="1"/>
  <c r="N150" i="1" a="1"/>
  <c r="N150" i="1" s="1"/>
  <c r="O150" i="1" a="1"/>
  <c r="O150" i="1" s="1"/>
  <c r="E151" i="1"/>
  <c r="A152" i="1"/>
  <c r="L151" i="1" a="1"/>
  <c r="L151" i="1" s="1"/>
  <c r="M151" i="1" a="1"/>
  <c r="M151" i="1" s="1"/>
  <c r="K151" i="1" a="1"/>
  <c r="K151" i="1" s="1"/>
  <c r="D150" i="1"/>
  <c r="C150" i="1"/>
  <c r="G150" i="1" l="1"/>
  <c r="C151" i="1"/>
  <c r="D151" i="1"/>
  <c r="M152" i="1" a="1"/>
  <c r="M152" i="1" s="1"/>
  <c r="A153" i="1"/>
  <c r="K152" i="1" a="1"/>
  <c r="K152" i="1" s="1"/>
  <c r="L152" i="1" a="1"/>
  <c r="L152" i="1" s="1"/>
  <c r="O151" i="1" a="1"/>
  <c r="O151" i="1" s="1"/>
  <c r="E152" i="1"/>
  <c r="N151" i="1" a="1"/>
  <c r="N151" i="1" s="1"/>
  <c r="G151" i="1" s="1"/>
  <c r="E153" i="1" l="1"/>
  <c r="N152" i="1" a="1"/>
  <c r="N152" i="1" s="1"/>
  <c r="G152" i="1" s="1"/>
  <c r="O152" i="1" a="1"/>
  <c r="O152" i="1" s="1"/>
  <c r="C152" i="1"/>
  <c r="D152" i="1"/>
  <c r="A154" i="1"/>
  <c r="K153" i="1" a="1"/>
  <c r="K153" i="1" s="1"/>
  <c r="M153" i="1" a="1"/>
  <c r="M153" i="1" s="1"/>
  <c r="L153" i="1" a="1"/>
  <c r="L153" i="1" s="1"/>
  <c r="C153" i="1" l="1"/>
  <c r="D153" i="1"/>
  <c r="A155" i="1"/>
  <c r="K154" i="1" a="1"/>
  <c r="K154" i="1" s="1"/>
  <c r="L154" i="1" a="1"/>
  <c r="L154" i="1" s="1"/>
  <c r="M154" i="1" a="1"/>
  <c r="M154" i="1" s="1"/>
  <c r="N153" i="1" a="1"/>
  <c r="N153" i="1" s="1"/>
  <c r="G153" i="1" s="1"/>
  <c r="O153" i="1" a="1"/>
  <c r="O153" i="1" s="1"/>
  <c r="E154" i="1"/>
  <c r="L155" i="1" l="1" a="1"/>
  <c r="L155" i="1" s="1"/>
  <c r="K155" i="1" a="1"/>
  <c r="K155" i="1" s="1"/>
  <c r="M155" i="1" a="1"/>
  <c r="M155" i="1" s="1"/>
  <c r="B135" i="1" a="1"/>
  <c r="C154" i="1"/>
  <c r="D154" i="1"/>
  <c r="E155" i="1"/>
  <c r="N154" i="1" a="1"/>
  <c r="N154" i="1" s="1"/>
  <c r="G154" i="1" s="1"/>
  <c r="O154" i="1" a="1"/>
  <c r="O154" i="1" s="1"/>
  <c r="O155" i="1" l="1" a="1"/>
  <c r="O155" i="1" s="1"/>
  <c r="N155" i="1" a="1"/>
  <c r="N155" i="1" s="1"/>
  <c r="F135" i="1" a="1"/>
  <c r="B150" i="1"/>
  <c r="B142" i="1"/>
  <c r="B149" i="1"/>
  <c r="B141" i="1"/>
  <c r="B155" i="1"/>
  <c r="B147" i="1"/>
  <c r="B139" i="1"/>
  <c r="B154" i="1"/>
  <c r="B146" i="1"/>
  <c r="B138" i="1"/>
  <c r="B143" i="1"/>
  <c r="B140" i="1"/>
  <c r="B153" i="1"/>
  <c r="B137" i="1"/>
  <c r="B152" i="1"/>
  <c r="B136" i="1"/>
  <c r="B151" i="1"/>
  <c r="B135" i="1"/>
  <c r="B148" i="1"/>
  <c r="B145" i="1"/>
  <c r="B144" i="1"/>
  <c r="D155" i="1"/>
  <c r="C155" i="1"/>
  <c r="G155" i="1" l="1"/>
  <c r="B157" i="1"/>
  <c r="F154" i="1"/>
  <c r="F146" i="1"/>
  <c r="F138" i="1"/>
  <c r="F153" i="1"/>
  <c r="F145" i="1"/>
  <c r="F137" i="1"/>
  <c r="F150" i="1"/>
  <c r="F142" i="1"/>
  <c r="F152" i="1"/>
  <c r="F140" i="1"/>
  <c r="F149" i="1"/>
  <c r="F148" i="1"/>
  <c r="F135" i="1"/>
  <c r="F147" i="1"/>
  <c r="F144" i="1"/>
  <c r="F143" i="1"/>
  <c r="F155" i="1"/>
  <c r="F141" i="1"/>
  <c r="F151" i="1"/>
  <c r="F139" i="1"/>
  <c r="F136" i="1"/>
  <c r="F15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Dennis Barton</author>
    <author>Emerald Whiteman</author>
    <author>Windows User</author>
  </authors>
  <commentList>
    <comment ref="E115" authorId="0" shapeId="0" xr:uid="{00000000-0006-0000-0000-000001000000}">
      <text>
        <r>
          <rPr>
            <b/>
            <sz val="8"/>
            <color indexed="81"/>
            <rFont val="Tahoma"/>
            <family val="2"/>
          </rPr>
          <t>Dennis Barton:</t>
        </r>
        <r>
          <rPr>
            <sz val="8"/>
            <color indexed="81"/>
            <rFont val="Tahoma"/>
            <family val="2"/>
          </rPr>
          <t xml:space="preserve">
Where the employer is a sub unit of a larger unit and staff transfers are possible, two copies of this spreadsheet are needed.  One copy shows dates of entry to the sub unit and the other shows date of entry to the whole organisation.
Examples of sub units are Government departments are a sub unit of the whole of Government and subsidiary companies which are sub units of holding companies.</t>
        </r>
      </text>
    </comment>
    <comment ref="F115" authorId="0" shapeId="0" xr:uid="{00000000-0006-0000-0000-000002000000}">
      <text>
        <r>
          <rPr>
            <b/>
            <sz val="8"/>
            <color indexed="81"/>
            <rFont val="Tahoma"/>
            <family val="2"/>
          </rPr>
          <t>Dennis Barton:</t>
        </r>
        <r>
          <rPr>
            <sz val="8"/>
            <color indexed="81"/>
            <rFont val="Tahoma"/>
            <family val="2"/>
          </rPr>
          <t xml:space="preserve">
If the person is still employed, set this column either blank or to a long term future date such as 30/6/2099.
</t>
        </r>
      </text>
    </comment>
    <comment ref="G115" authorId="1" shapeId="0" xr:uid="{2AF099CE-9558-480B-B052-360C447FBF6E}">
      <text>
        <r>
          <rPr>
            <b/>
            <sz val="8"/>
            <color indexed="81"/>
            <rFont val="Tahoma"/>
            <family val="2"/>
          </rPr>
          <t>Dennis Barton:</t>
        </r>
        <r>
          <rPr>
            <sz val="8"/>
            <color indexed="81"/>
            <rFont val="Tahoma"/>
            <family val="2"/>
          </rPr>
          <t xml:space="preserve">
1. Death
2. Disability
3. Retired
4. Retrenched
5. Other
6. Transferred Out (within parent organisation)</t>
        </r>
      </text>
    </comment>
    <comment ref="H115" authorId="0" shapeId="0" xr:uid="{00000000-0006-0000-0000-000003000000}">
      <text>
        <r>
          <rPr>
            <b/>
            <sz val="8"/>
            <color indexed="81"/>
            <rFont val="Tahoma"/>
            <family val="2"/>
          </rPr>
          <t>Dennis Barton:</t>
        </r>
        <r>
          <rPr>
            <sz val="8"/>
            <color indexed="81"/>
            <rFont val="Tahoma"/>
            <family val="2"/>
          </rPr>
          <t xml:space="preserve">
Years to qualify for initial moiety of leave.
</t>
        </r>
      </text>
    </comment>
    <comment ref="I115" authorId="0" shapeId="0" xr:uid="{00000000-0006-0000-0000-000004000000}">
      <text>
        <r>
          <rPr>
            <b/>
            <sz val="8"/>
            <color indexed="81"/>
            <rFont val="Tahoma"/>
            <family val="2"/>
          </rPr>
          <t>Dennis Barton:</t>
        </r>
        <r>
          <rPr>
            <sz val="8"/>
            <color indexed="81"/>
            <rFont val="Tahoma"/>
            <family val="2"/>
          </rPr>
          <t xml:space="preserve">
Years to qualify for subsequent moieties of leave.</t>
        </r>
      </text>
    </comment>
    <comment ref="J115" authorId="0" shapeId="0" xr:uid="{00000000-0006-0000-0000-000005000000}">
      <text>
        <r>
          <rPr>
            <b/>
            <sz val="8"/>
            <color indexed="81"/>
            <rFont val="Tahoma"/>
            <family val="2"/>
          </rPr>
          <t>Dennis Barton:</t>
        </r>
        <r>
          <rPr>
            <sz val="8"/>
            <color indexed="81"/>
            <rFont val="Tahoma"/>
            <family val="2"/>
          </rPr>
          <t xml:space="preserve">
Leave granted (fraction of a year) for initial qualifying period.</t>
        </r>
      </text>
    </comment>
    <comment ref="K115" authorId="0" shapeId="0" xr:uid="{00000000-0006-0000-0000-000006000000}">
      <text>
        <r>
          <rPr>
            <b/>
            <sz val="8"/>
            <color indexed="81"/>
            <rFont val="Tahoma"/>
            <family val="2"/>
          </rPr>
          <t>Dennis Barton:</t>
        </r>
        <r>
          <rPr>
            <sz val="8"/>
            <color indexed="81"/>
            <rFont val="Tahoma"/>
            <family val="2"/>
          </rPr>
          <t xml:space="preserve">
Leave granted (fraction of a year) for subsequent qualifying periods.
</t>
        </r>
      </text>
    </comment>
    <comment ref="L115" authorId="0" shapeId="0" xr:uid="{00000000-0006-0000-0000-000007000000}">
      <text>
        <r>
          <rPr>
            <b/>
            <sz val="8"/>
            <color indexed="81"/>
            <rFont val="Tahoma"/>
            <family val="2"/>
          </rPr>
          <t>Dennis Barton:</t>
        </r>
        <r>
          <rPr>
            <sz val="8"/>
            <color indexed="81"/>
            <rFont val="Tahoma"/>
            <family val="2"/>
          </rPr>
          <t xml:space="preserve">
Salary paid for full time work in this position</t>
        </r>
      </text>
    </comment>
    <comment ref="M115" authorId="0" shapeId="0" xr:uid="{00000000-0006-0000-0000-000008000000}">
      <text>
        <r>
          <rPr>
            <b/>
            <sz val="8"/>
            <color indexed="81"/>
            <rFont val="Tahoma"/>
            <family val="2"/>
          </rPr>
          <t>Dennis Barton:</t>
        </r>
        <r>
          <rPr>
            <sz val="8"/>
            <color indexed="81"/>
            <rFont val="Tahoma"/>
            <family val="2"/>
          </rPr>
          <t xml:space="preserve">
Salary paid for full time work in this position</t>
        </r>
      </text>
    </comment>
    <comment ref="N115" authorId="0" shapeId="0" xr:uid="{00000000-0006-0000-0000-000009000000}">
      <text>
        <r>
          <rPr>
            <b/>
            <sz val="8"/>
            <color indexed="81"/>
            <rFont val="Tahoma"/>
            <family val="2"/>
          </rPr>
          <t>Dennis Barton:</t>
        </r>
        <r>
          <rPr>
            <sz val="8"/>
            <color indexed="81"/>
            <rFont val="Tahoma"/>
            <family val="2"/>
          </rPr>
          <t xml:space="preserve">
Proportion of normal working fortnight worked on average throughout the accrual period to date.
</t>
        </r>
      </text>
    </comment>
    <comment ref="O115" authorId="0" shapeId="0" xr:uid="{00000000-0006-0000-0000-00000A000000}">
      <text>
        <r>
          <rPr>
            <b/>
            <sz val="8"/>
            <color indexed="81"/>
            <rFont val="Tahoma"/>
            <family val="2"/>
          </rPr>
          <t>Dennis Barton:</t>
        </r>
        <r>
          <rPr>
            <sz val="8"/>
            <color indexed="81"/>
            <rFont val="Tahoma"/>
            <family val="2"/>
          </rPr>
          <t xml:space="preserve">
Proportion of normal working fortnight worked as at valuation date.
</t>
        </r>
      </text>
    </comment>
    <comment ref="P115" authorId="0" shapeId="0" xr:uid="{B8C5F61A-7F81-4DC6-8AD2-8D2AAD2DE41A}">
      <text>
        <r>
          <rPr>
            <b/>
            <sz val="9"/>
            <color indexed="81"/>
            <rFont val="Tahoma"/>
            <family val="2"/>
          </rPr>
          <t>Dennis Barton:</t>
        </r>
        <r>
          <rPr>
            <sz val="9"/>
            <color indexed="81"/>
            <rFont val="Tahoma"/>
            <family val="2"/>
          </rPr>
          <t xml:space="preserve">
Date on which last leave vested (not paid)</t>
        </r>
      </text>
    </comment>
    <comment ref="Q115" authorId="0" shapeId="0" xr:uid="{CC7C8F59-2650-4B3F-8690-401C5A84B0E6}">
      <text>
        <r>
          <rPr>
            <b/>
            <sz val="9"/>
            <color indexed="81"/>
            <rFont val="Tahoma"/>
            <family val="2"/>
          </rPr>
          <t>Dennis Barton:</t>
        </r>
        <r>
          <rPr>
            <sz val="9"/>
            <color indexed="81"/>
            <rFont val="Tahoma"/>
            <family val="2"/>
          </rPr>
          <t xml:space="preserve">
Date on which leave next vests
</t>
        </r>
      </text>
    </comment>
    <comment ref="R115" authorId="0" shapeId="0" xr:uid="{B66A1B8B-6AFD-4A50-A506-D2AF45411D20}">
      <text>
        <r>
          <rPr>
            <b/>
            <sz val="9"/>
            <color indexed="81"/>
            <rFont val="Tahoma"/>
            <family val="2"/>
          </rPr>
          <t>Dennis Barton:</t>
        </r>
        <r>
          <rPr>
            <sz val="9"/>
            <color indexed="81"/>
            <rFont val="Tahoma"/>
            <family val="2"/>
          </rPr>
          <t xml:space="preserve">
Proportion of year leave accrued in the first qualifying perod (Typically can be up to 0.24)</t>
        </r>
      </text>
    </comment>
    <comment ref="S115" authorId="0" shapeId="0" xr:uid="{2307C064-5A77-427C-A1CB-BD438E4D41C3}">
      <text>
        <r>
          <rPr>
            <b/>
            <sz val="9"/>
            <color indexed="81"/>
            <rFont val="Tahoma"/>
            <family val="2"/>
          </rPr>
          <t>Dennis Barton:</t>
        </r>
        <r>
          <rPr>
            <sz val="9"/>
            <color indexed="81"/>
            <rFont val="Tahoma"/>
            <family val="2"/>
          </rPr>
          <t xml:space="preserve">
Proportion of year already vested (typically 0.25 or 0)
</t>
        </r>
      </text>
    </comment>
    <comment ref="T115" authorId="0" shapeId="0" xr:uid="{0D159603-FD9C-4A37-B648-5A62BF905373}">
      <text>
        <r>
          <rPr>
            <b/>
            <sz val="9"/>
            <color indexed="81"/>
            <rFont val="Tahoma"/>
            <family val="2"/>
          </rPr>
          <t>Dennis Barton:</t>
        </r>
        <r>
          <rPr>
            <sz val="9"/>
            <color indexed="81"/>
            <rFont val="Tahoma"/>
            <family val="2"/>
          </rPr>
          <t xml:space="preserve">
Proportion of year accrued in subsequentqualifying periods but not yet vested (Typically can be up to 0.24)
</t>
        </r>
      </text>
    </comment>
    <comment ref="W115" authorId="0" shapeId="0" xr:uid="{E9F6B708-8232-4BEE-8548-1A948DDA24E9}">
      <text>
        <r>
          <rPr>
            <b/>
            <sz val="9"/>
            <color indexed="81"/>
            <rFont val="Tahoma"/>
            <family val="2"/>
          </rPr>
          <t>Dennis Barton:</t>
        </r>
        <r>
          <rPr>
            <sz val="9"/>
            <color indexed="81"/>
            <rFont val="Tahoma"/>
            <family val="2"/>
          </rPr>
          <t xml:space="preserve">
Total years of service
</t>
        </r>
      </text>
    </comment>
    <comment ref="X115" authorId="0" shapeId="0" xr:uid="{FC763852-B930-48D3-88CD-24053B722250}">
      <text>
        <r>
          <rPr>
            <b/>
            <sz val="9"/>
            <color indexed="81"/>
            <rFont val="Tahoma"/>
            <family val="2"/>
          </rPr>
          <t>Dennis Barton:</t>
        </r>
        <r>
          <rPr>
            <sz val="9"/>
            <color indexed="81"/>
            <rFont val="Tahoma"/>
            <family val="2"/>
          </rPr>
          <t xml:space="preserve">
Proportion of leave committed to this on cost
</t>
        </r>
      </text>
    </comment>
    <comment ref="Y115" authorId="0" shapeId="0" xr:uid="{623E1CF7-4B5A-4A99-A91D-186FA2FAC619}">
      <text>
        <r>
          <rPr>
            <b/>
            <sz val="9"/>
            <color indexed="81"/>
            <rFont val="Tahoma"/>
            <family val="2"/>
          </rPr>
          <t>Dennis Barton:</t>
        </r>
        <r>
          <rPr>
            <sz val="9"/>
            <color indexed="81"/>
            <rFont val="Tahoma"/>
            <family val="2"/>
          </rPr>
          <t xml:space="preserve">
Proportion of leave committed to this on cost
</t>
        </r>
      </text>
    </comment>
    <comment ref="Z115" authorId="0" shapeId="0" xr:uid="{0B814324-1C63-471F-ACA0-C830925D381A}">
      <text>
        <r>
          <rPr>
            <b/>
            <sz val="9"/>
            <color indexed="81"/>
            <rFont val="Tahoma"/>
            <family val="2"/>
          </rPr>
          <t>Dennis Barton:</t>
        </r>
        <r>
          <rPr>
            <sz val="9"/>
            <color indexed="81"/>
            <rFont val="Tahoma"/>
            <family val="2"/>
          </rPr>
          <t xml:space="preserve">
Proportion of leave committed to this on cost
</t>
        </r>
      </text>
    </comment>
    <comment ref="AA115" authorId="0" shapeId="0" xr:uid="{00000000-0006-0000-0000-00000B000000}">
      <text>
        <r>
          <rPr>
            <b/>
            <sz val="8"/>
            <color indexed="81"/>
            <rFont val="Tahoma"/>
            <family val="2"/>
          </rPr>
          <t>Dennis Barton:</t>
        </r>
        <r>
          <rPr>
            <sz val="8"/>
            <color indexed="81"/>
            <rFont val="Tahoma"/>
            <family val="2"/>
          </rPr>
          <t xml:space="preserve">
Proportion of leave required to meet on costs such as superannuation, worker's compensation and payroll tax.</t>
        </r>
      </text>
    </comment>
    <comment ref="AB115" authorId="0" shapeId="0" xr:uid="{00000000-0006-0000-0000-00000C000000}">
      <text>
        <r>
          <rPr>
            <b/>
            <sz val="8"/>
            <color indexed="81"/>
            <rFont val="Tahoma"/>
            <family val="2"/>
          </rPr>
          <t>Dennis Barton:</t>
        </r>
        <r>
          <rPr>
            <sz val="8"/>
            <color indexed="81"/>
            <rFont val="Tahoma"/>
            <family val="2"/>
          </rPr>
          <t xml:space="preserve">
Salary paid for full time work in this position</t>
        </r>
      </text>
    </comment>
    <comment ref="AC115" authorId="0" shapeId="0" xr:uid="{00000000-0006-0000-0000-00000D000000}">
      <text>
        <r>
          <rPr>
            <b/>
            <sz val="8"/>
            <color indexed="81"/>
            <rFont val="Tahoma"/>
            <family val="2"/>
          </rPr>
          <t>Dennis Barton:</t>
        </r>
        <r>
          <rPr>
            <sz val="8"/>
            <color indexed="81"/>
            <rFont val="Tahoma"/>
            <family val="2"/>
          </rPr>
          <t xml:space="preserve">
Proportion of normal working fortnight worked on average throughout the accrual period to date.
</t>
        </r>
      </text>
    </comment>
    <comment ref="AD115" authorId="0" shapeId="0" xr:uid="{00000000-0006-0000-0000-00000E000000}">
      <text>
        <r>
          <rPr>
            <b/>
            <sz val="8"/>
            <color indexed="81"/>
            <rFont val="Tahoma"/>
            <family val="2"/>
          </rPr>
          <t>Dennis Barton:</t>
        </r>
        <r>
          <rPr>
            <sz val="8"/>
            <color indexed="81"/>
            <rFont val="Tahoma"/>
            <family val="2"/>
          </rPr>
          <t xml:space="preserve">
Proportion of normal working fortnight worked as at valuation date.
</t>
        </r>
      </text>
    </comment>
    <comment ref="AE115" authorId="0" shapeId="0" xr:uid="{00000000-0006-0000-0000-00000F000000}">
      <text>
        <r>
          <rPr>
            <b/>
            <sz val="8"/>
            <color indexed="81"/>
            <rFont val="Tahoma"/>
            <family val="2"/>
          </rPr>
          <t>Dennis Barton:</t>
        </r>
        <r>
          <rPr>
            <sz val="8"/>
            <color indexed="81"/>
            <rFont val="Tahoma"/>
            <family val="2"/>
          </rPr>
          <t xml:space="preserve">
Leave to which no entitlement has yet vested.
</t>
        </r>
      </text>
    </comment>
    <comment ref="AF115" authorId="0" shapeId="0" xr:uid="{00000000-0006-0000-0000-000010000000}">
      <text>
        <r>
          <rPr>
            <b/>
            <sz val="8"/>
            <color indexed="81"/>
            <rFont val="Tahoma"/>
            <family val="2"/>
          </rPr>
          <t>Dennis Barton:</t>
        </r>
        <r>
          <rPr>
            <sz val="8"/>
            <color indexed="81"/>
            <rFont val="Tahoma"/>
            <family val="2"/>
          </rPr>
          <t xml:space="preserve">
Leave to which entitlement has now vested.</t>
        </r>
      </text>
    </comment>
    <comment ref="AG115" authorId="0" shapeId="0" xr:uid="{00000000-0006-0000-0000-000011000000}">
      <text>
        <r>
          <rPr>
            <b/>
            <sz val="8"/>
            <color indexed="81"/>
            <rFont val="Tahoma"/>
            <family val="2"/>
          </rPr>
          <t>Dennis Barton:</t>
        </r>
        <r>
          <rPr>
            <sz val="8"/>
            <color indexed="81"/>
            <rFont val="Tahoma"/>
            <family val="2"/>
          </rPr>
          <t xml:space="preserve">
Leave to which entitlement has not yet vested but will vest on retirement, ill health, retrenchment or death.</t>
        </r>
      </text>
    </comment>
    <comment ref="AH115" authorId="0" shapeId="0" xr:uid="{00000000-0006-0000-0000-000012000000}">
      <text>
        <r>
          <rPr>
            <b/>
            <sz val="8"/>
            <color indexed="81"/>
            <rFont val="Tahoma"/>
            <family val="2"/>
          </rPr>
          <t>Dennis Barton:</t>
        </r>
        <r>
          <rPr>
            <sz val="8"/>
            <color indexed="81"/>
            <rFont val="Tahoma"/>
            <family val="2"/>
          </rPr>
          <t xml:space="preserve">
Proportion of leave required to meet on costs such as superannuation, worker's compensation and payroll tax.</t>
        </r>
      </text>
    </comment>
    <comment ref="L119" authorId="2" shapeId="0" xr:uid="{00000000-0006-0000-0000-000013000000}">
      <text>
        <r>
          <rPr>
            <b/>
            <sz val="9"/>
            <color indexed="81"/>
            <rFont val="Tahoma"/>
            <family val="2"/>
          </rPr>
          <t>Windows User:</t>
        </r>
        <r>
          <rPr>
            <sz val="9"/>
            <color indexed="81"/>
            <rFont val="Tahoma"/>
            <family val="2"/>
          </rPr>
          <t xml:space="preserve">
Depend on exchange rate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<sst xmlns="http://schemas.openxmlformats.org/spreadsheetml/2006/main" count="112" uniqueCount="97">
  <si>
    <t>Barton Consultancy</t>
  </si>
  <si>
    <t>Valuation date</t>
  </si>
  <si>
    <t>Reference</t>
  </si>
  <si>
    <t>Name</t>
  </si>
  <si>
    <t>Sex</t>
  </si>
  <si>
    <t>Birth date</t>
  </si>
  <si>
    <t>Entry date</t>
  </si>
  <si>
    <t>Initial qualifying</t>
  </si>
  <si>
    <t>Subsequent qualifying</t>
  </si>
  <si>
    <t>Initial rate</t>
  </si>
  <si>
    <t>Subsequent rate</t>
  </si>
  <si>
    <t>All</t>
  </si>
  <si>
    <t>Minimum</t>
  </si>
  <si>
    <t>Maximum</t>
  </si>
  <si>
    <t>Average</t>
  </si>
  <si>
    <t>Preconditional</t>
  </si>
  <si>
    <t>Unconditional</t>
  </si>
  <si>
    <t>Conditional</t>
  </si>
  <si>
    <t>On cost proportion</t>
  </si>
  <si>
    <t>Masculinity</t>
  </si>
  <si>
    <t>Minimum row</t>
  </si>
  <si>
    <t>Maximum row</t>
  </si>
  <si>
    <t>Exit mode</t>
  </si>
  <si>
    <t>Exit date</t>
  </si>
  <si>
    <t xml:space="preserve">Data summary </t>
  </si>
  <si>
    <t>Salary (Full time)</t>
  </si>
  <si>
    <t>Full time proportion accrued</t>
  </si>
  <si>
    <t>Full time proportion accruing</t>
  </si>
  <si>
    <t>Instructions</t>
  </si>
  <si>
    <t>Input valuation date.</t>
  </si>
  <si>
    <t>Read comments describing input data.</t>
  </si>
  <si>
    <t>Check and print Data summary</t>
  </si>
  <si>
    <t>Send to Barton@Actuary.com.au</t>
  </si>
  <si>
    <t>These are first rows in which the minimum and maximum occurs.</t>
  </si>
  <si>
    <t xml:space="preserve">Check totals, maximum and minimum for reasonableness.  </t>
  </si>
  <si>
    <t>Correct if necessary, guided by minimum and maximum rows .</t>
  </si>
  <si>
    <t>Entitlement years before FTE adjustment</t>
  </si>
  <si>
    <t>Valuation date information</t>
  </si>
  <si>
    <t>Previous valuation date information</t>
  </si>
  <si>
    <t>Live records</t>
  </si>
  <si>
    <t>Valuation</t>
  </si>
  <si>
    <t>Previous</t>
  </si>
  <si>
    <t>Last year</t>
  </si>
  <si>
    <t>Records</t>
  </si>
  <si>
    <t>Number</t>
  </si>
  <si>
    <t>Age</t>
  </si>
  <si>
    <t>Number and Age</t>
  </si>
  <si>
    <r>
      <t xml:space="preserve">Count records to be included in this spreadsheet </t>
    </r>
    <r>
      <rPr>
        <b/>
        <sz val="7"/>
        <rFont val="Arial"/>
        <family val="2"/>
      </rPr>
      <t>remembering to include former employees for the last three years</t>
    </r>
    <r>
      <rPr>
        <sz val="7"/>
        <rFont val="Arial"/>
        <family val="2"/>
      </rPr>
      <t>.</t>
    </r>
  </si>
  <si>
    <t>Service</t>
  </si>
  <si>
    <t>Accrual</t>
  </si>
  <si>
    <t>Live record distributions</t>
  </si>
  <si>
    <t>Average service</t>
  </si>
  <si>
    <t>Average accrued (RHS)</t>
  </si>
  <si>
    <t>Average accrued</t>
  </si>
  <si>
    <t>Position in range</t>
  </si>
  <si>
    <t>Age cumulative</t>
  </si>
  <si>
    <t>Accrued</t>
  </si>
  <si>
    <t>Service cummulative</t>
  </si>
  <si>
    <t>Live minimum</t>
  </si>
  <si>
    <t>Live maximum</t>
  </si>
  <si>
    <t>Live average</t>
  </si>
  <si>
    <t>Year end</t>
  </si>
  <si>
    <t>Begin</t>
  </si>
  <si>
    <t>New</t>
  </si>
  <si>
    <t>Death</t>
  </si>
  <si>
    <t>Incapacity</t>
  </si>
  <si>
    <t>Retire</t>
  </si>
  <si>
    <t xml:space="preserve">Retrench </t>
  </si>
  <si>
    <t xml:space="preserve">Other </t>
  </si>
  <si>
    <t>End</t>
  </si>
  <si>
    <t>Central</t>
  </si>
  <si>
    <t>Crude</t>
  </si>
  <si>
    <t>Service distribution of exits and in force</t>
  </si>
  <si>
    <t>Years</t>
  </si>
  <si>
    <t>Exits</t>
  </si>
  <si>
    <t>Face value</t>
  </si>
  <si>
    <t>Proportion *100</t>
  </si>
  <si>
    <t>Make room for required number of records by clicking button to the right</t>
  </si>
  <si>
    <t>Salary (Full time) LSL</t>
  </si>
  <si>
    <t>Salary (Full time) AL</t>
  </si>
  <si>
    <t>Last accrual date</t>
  </si>
  <si>
    <t>Next accrual date</t>
  </si>
  <si>
    <t>Preconditional LSL</t>
  </si>
  <si>
    <t>Vested LSL</t>
  </si>
  <si>
    <t>Conditional LSL</t>
  </si>
  <si>
    <t>Accrued annual leave</t>
  </si>
  <si>
    <t>Annual leave accrual rate</t>
  </si>
  <si>
    <t>Supplied service</t>
  </si>
  <si>
    <t>On cost proportion LSL</t>
  </si>
  <si>
    <t>Superannuation oncost proportion</t>
  </si>
  <si>
    <t>Workers compensation oncost proportion</t>
  </si>
  <si>
    <t>Payroll tax oncost proportion</t>
  </si>
  <si>
    <t>Client name</t>
  </si>
  <si>
    <t>Leave data</t>
  </si>
  <si>
    <t>Internal Transfer</t>
  </si>
  <si>
    <t xml:space="preserve">Populate input data in green area (inset row, in middle as necesscary) </t>
  </si>
  <si>
    <t>Copy from top row of red area to the right of inputs down to all other rows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</si>
</sst>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164" formatCode="#,##0;[Red]\(#,##0\);&quot;-&quot;"/>
    <numFmt numFmtId="165" formatCode="d\-mmm\-yyyy"/>
    <numFmt numFmtId="166" formatCode="0.00%;[Red]0.00%;&quot;-&quot;"/>
    <numFmt numFmtId="167" formatCode="#,##0.00;[Red]\(#,##0.00\);&quot;-&quot;"/>
    <numFmt numFmtId="168" formatCode="#,##0.000;[Red]\(#,##0.000\);&quot;-&quot;"/>
    <numFmt numFmtId="169" formatCode="#,##0;[Red]\(#,##0\);"/>
    <numFmt numFmtId="170" formatCode="#,##0.0000;\(#,##0.0000\);&quot;-&quot;"/>
    <numFmt numFmtId="171" formatCode="#,##0.000000;\(#,##0.000000\);&quot;-&quot;"/>
    <numFmt numFmtId="172" formatCode="#,##0;\(#,##0\);&quot;-&quot;"/>
    <numFmt numFmtId="173" formatCode="#,###,;\(#,###,\);&quot;-&quot;"/>
    <numFmt numFmtId="174" formatCode="0%;0%;&quot;-&quot;"/>
    <numFmt numFmtId="175" formatCode="0.0%;0.0%;&quot;-&quot;"/>
    <numFmt numFmtId="176" formatCode="0.00%;0.00%;&quot;-&quot;"/>
    <numFmt numFmtId="177" formatCode="###\ ###\ ##0;\(###\ ###\ ##0\);&quot;-&quot;"/>
    <numFmt numFmtId="178" formatCode="###\ ###\ ##0.00;\(###\ ###\ ##0.00\);&quot;-&quot;"/>
    <numFmt numFmtId="179" formatCode="###\ ##0,;\(###\ ###,\)"/>
    <numFmt numFmtId="180" formatCode="#,##0.0"/>
    <numFmt numFmtId="181" formatCode="#,###.000,;\(#,###,\);&quot;-&quot;"/>
    <numFmt numFmtId="182" formatCode="0.00%;[Red]\(0.00%\)"/>
    <numFmt numFmtId="183" formatCode="#,##0_);[Red]\(#,##0\);&quot;&quot;"/>
    <numFmt numFmtId="184" formatCode="#,##0;[Red]\(#,##0\);&quot;Nil&quot;"/>
    <numFmt numFmtId="185" formatCode="#,##0.00;[Red]\(#,##0.00\)"/>
    <numFmt numFmtId="186" formatCode="#,##0.00;[Red]\(#,##0.00\);&quot;&quot;"/>
    <numFmt numFmtId="187" formatCode="#,##0.00;[Red]\(#,##0.00\);&quot;Nil&quot;"/>
    <numFmt numFmtId="188" formatCode="#,###,;[Red]\(#,###,\)"/>
    <numFmt numFmtId="189" formatCode="#,###,;[Red]\(#,###,\);&quot;&quot;"/>
    <numFmt numFmtId="190" formatCode="#,###,;[Red]\(#,###,\);&quot;Nil&quot;"/>
    <numFmt numFmtId="191" formatCode="#,##0.0000_);[Red]\(#,##0.0000\)"/>
    <numFmt numFmtId="192" formatCode="#,##0.0000_);[Red]\(#,##0.0000\);&quot;&quot;"/>
    <numFmt numFmtId="193" formatCode="#,##0.0000_);[Red]\(#,##0.0000\);&quot;Nil&quot;"/>
    <numFmt numFmtId="194" formatCode="0.000000"/>
    <numFmt numFmtId="195" formatCode="0.000%;[Red]\(0.000%\)"/>
    <numFmt numFmtId="196" formatCode="0.0000%;[Red]\(0.0000%\)"/>
    <numFmt numFmtId="197" formatCode="mmm\ yy"/>
    <numFmt numFmtId="198" formatCode="dd\-mmm\-yyyy"/>
  </numFmts>
  <fonts count="39" x14ac:knownFonts="1">
    <font>
      <sz val="7"/>
      <name val="Arial"/>
      <family val="2"/>
    </font>
    <font>
      <sz val="6"/>
      <name val="Arial"/>
      <family val="2"/>
    </font>
    <font>
      <sz val="8"/>
      <name val="Arial"/>
      <family val="2"/>
    </font>
    <font>
      <b/>
      <sz val="16"/>
      <name val="Arial"/>
      <family val="2"/>
    </font>
    <font>
      <b/>
      <sz val="12"/>
      <name val="Arial"/>
      <family val="2"/>
    </font>
    <font>
      <b/>
      <sz val="10"/>
      <name val="Arial"/>
      <family val="2"/>
    </font>
    <font>
      <b/>
      <sz val="8"/>
      <name val="Arial"/>
      <family val="2"/>
    </font>
    <font>
      <sz val="10"/>
      <name val="Arial"/>
      <family val="2"/>
    </font>
    <font>
      <b/>
      <sz val="8"/>
      <color indexed="33"/>
      <name val="Arial"/>
      <family val="2"/>
    </font>
    <font>
      <b/>
      <sz val="6"/>
      <name val="Arial"/>
      <family val="2"/>
    </font>
    <font>
      <sz val="8"/>
      <color indexed="32"/>
      <name val="Arial"/>
      <family val="2"/>
    </font>
    <font>
      <b/>
      <sz val="8"/>
      <color indexed="10"/>
      <name val="Arial"/>
      <family val="2"/>
    </font>
    <font>
      <b/>
      <sz val="7"/>
      <name val="Arial"/>
      <family val="2"/>
    </font>
    <font>
      <b/>
      <sz val="7"/>
      <color indexed="14"/>
      <name val="Arial"/>
      <family val="2"/>
    </font>
    <font>
      <b/>
      <sz val="16"/>
      <color indexed="16"/>
      <name val="Arial"/>
      <family val="2"/>
    </font>
    <font>
      <b/>
      <sz val="14"/>
      <color indexed="16"/>
      <name val="Arial"/>
      <family val="2"/>
    </font>
    <font>
      <b/>
      <sz val="12"/>
      <color indexed="16"/>
      <name val="Arial"/>
      <family val="2"/>
    </font>
    <font>
      <b/>
      <sz val="10"/>
      <color indexed="16"/>
      <name val="Arial"/>
      <family val="2"/>
    </font>
    <font>
      <b/>
      <sz val="7"/>
      <color indexed="16"/>
      <name val="Arial"/>
      <family val="2"/>
    </font>
    <font>
      <b/>
      <sz val="7"/>
      <color indexed="9"/>
      <name val="Arial"/>
      <family val="2"/>
    </font>
    <font>
      <b/>
      <sz val="6"/>
      <color indexed="14"/>
      <name val="Arial"/>
      <family val="2"/>
    </font>
    <font>
      <b/>
      <sz val="20"/>
      <color indexed="16"/>
      <name val="Arial"/>
      <family val="2"/>
    </font>
    <font>
      <sz val="7"/>
      <color indexed="16"/>
      <name val="Arial"/>
      <family val="2"/>
    </font>
    <font>
      <sz val="7"/>
      <name val="Arial"/>
      <family val="2"/>
    </font>
    <font>
      <b/>
      <sz val="7"/>
      <color indexed="12"/>
      <name val="Arial"/>
      <family val="2"/>
    </font>
    <font>
      <b/>
      <sz val="8"/>
      <color indexed="16"/>
      <name val="Arial"/>
    </font>
    <font>
      <sz val="8"/>
      <name val="MS Sans Serif"/>
    </font>
    <font>
      <sz val="6"/>
      <name val="MS Sans Serif"/>
    </font>
    <font>
      <sz val="6"/>
      <name val="Arial"/>
    </font>
    <font>
      <sz val="8"/>
      <color indexed="14"/>
      <name val="Arial"/>
    </font>
    <font>
      <sz val="8"/>
      <name val="Arial"/>
    </font>
    <font>
      <b/>
      <sz val="8"/>
      <name val="Arial"/>
    </font>
    <font>
      <sz val="7"/>
      <color indexed="14"/>
      <name val="Arial"/>
      <family val="2"/>
    </font>
    <font>
      <u/>
      <sz val="7"/>
      <color indexed="12"/>
      <name val="Arial"/>
      <family val="2"/>
    </font>
    <font>
      <b/>
      <sz val="12"/>
      <color indexed="10"/>
      <name val="Arial"/>
      <family val="2"/>
    </font>
    <font>
      <b/>
      <sz val="8"/>
      <color indexed="81"/>
      <name val="Tahoma"/>
      <family val="2"/>
    </font>
    <font>
      <sz val="8"/>
      <color indexed="81"/>
      <name val="Tahoma"/>
      <family val="2"/>
    </font>
    <font>
      <sz val="9"/>
      <color indexed="81"/>
      <name val="Tahoma"/>
      <family val="2"/>
    </font>
    <font>
      <b/>
      <sz val="9"/>
      <color indexed="81"/>
      <name val="Tahoma"/>
      <family val="2"/>
    </font>
  </fonts>
  <fills count="12">
    <fill>
      <patternFill patternType="none"/>
    </fill>
    <fill>
      <patternFill patternType="gray125"/>
    </fill>
    <fill>
      <patternFill patternType="gray0625">
        <fgColor indexed="15"/>
        <bgColor indexed="9"/>
      </patternFill>
    </fill>
    <fill>
      <patternFill patternType="lightGray">
        <fgColor indexed="13"/>
      </patternFill>
    </fill>
    <fill>
      <patternFill patternType="gray0625">
        <fgColor indexed="13"/>
      </patternFill>
    </fill>
    <fill>
      <patternFill patternType="solid">
        <fgColor indexed="15"/>
      </patternFill>
    </fill>
    <fill>
      <patternFill patternType="solid">
        <fgColor indexed="15"/>
        <bgColor indexed="10"/>
      </patternFill>
    </fill>
    <fill>
      <patternFill patternType="solid">
        <fgColor indexed="9"/>
        <bgColor indexed="64"/>
      </patternFill>
    </fill>
    <fill>
      <patternFill patternType="lightGray">
        <fgColor indexed="43"/>
        <bgColor indexed="9"/>
      </patternFill>
    </fill>
    <fill>
      <patternFill patternType="mediumGray">
        <fgColor indexed="26"/>
        <bgColor indexed="9"/>
      </patternFill>
    </fill>
    <fill>
      <patternFill patternType="solid">
        <fgColor theme="9" tint="0.39997558519241921"/>
        <bgColor indexed="64"/>
      </patternFill>
    </fill>
    <fill>
      <patternFill patternType="solid">
        <fgColor theme="5" tint="0.59999389629810485"/>
        <bgColor indexed="64"/>
      </patternFill>
    </fill>
  </fills>
  <borders count="24">
    <border>
      <left/>
      <right/>
      <top/>
      <bottom/>
      <diagonal/>
    </border>
    <border>
      <left/>
      <right/>
      <top style="medium">
        <color indexed="16"/>
      </top>
      <bottom/>
      <diagonal/>
    </border>
    <border>
      <left/>
      <right style="medium">
        <color indexed="16"/>
      </right>
      <top/>
      <bottom/>
      <diagonal/>
    </border>
    <border>
      <left style="medium">
        <color indexed="16"/>
      </left>
      <right/>
      <top/>
      <bottom/>
      <diagonal/>
    </border>
    <border>
      <left/>
      <right/>
      <top/>
      <bottom style="medium">
        <color indexed="16"/>
      </bottom>
      <diagonal/>
    </border>
    <border>
      <left style="dashed">
        <color indexed="64"/>
      </left>
      <right style="dashed">
        <color indexed="64"/>
      </right>
      <top style="dashed">
        <color indexed="64"/>
      </top>
      <bottom style="dashed">
        <color indexed="64"/>
      </bottom>
      <diagonal/>
    </border>
    <border>
      <left style="medium">
        <color indexed="64"/>
      </left>
      <right style="medium">
        <color indexed="64"/>
      </right>
      <top style="medium">
        <color indexed="64"/>
      </top>
      <bottom style="medium">
        <color indexed="64"/>
      </bottom>
      <diagonal/>
    </border>
    <border>
      <left style="dotted">
        <color indexed="64"/>
      </left>
      <right style="dotted">
        <color indexed="64"/>
      </right>
      <top style="dotted">
        <color indexed="64"/>
      </top>
      <bottom style="dotted">
        <color indexed="64"/>
      </bottom>
      <diagonal/>
    </border>
    <border>
      <left/>
      <right/>
      <top style="double">
        <color indexed="16"/>
      </top>
      <bottom/>
      <diagonal/>
    </border>
    <border>
      <left style="medium">
        <color indexed="16"/>
      </left>
      <right/>
      <top style="medium">
        <color indexed="16"/>
      </top>
      <bottom/>
      <diagonal/>
    </border>
    <border>
      <left style="double">
        <color indexed="16"/>
      </left>
      <right/>
      <top/>
      <bottom/>
      <diagonal/>
    </border>
    <border>
      <left style="thin">
        <color indexed="64"/>
      </left>
      <right style="thin">
        <color indexed="64"/>
      </right>
      <top style="thin">
        <color indexed="64"/>
      </top>
      <bottom style="thin">
        <color indexed="64"/>
      </bottom>
      <diagonal/>
    </border>
    <border>
      <left/>
      <right/>
      <top/>
      <bottom style="double">
        <color indexed="16"/>
      </bottom>
      <diagonal/>
    </border>
    <border>
      <left/>
      <right/>
      <top style="double">
        <color indexed="35"/>
      </top>
      <bottom/>
      <diagonal/>
    </border>
    <border>
      <left/>
      <right style="double">
        <color indexed="35"/>
      </right>
      <top style="double">
        <color indexed="35"/>
      </top>
      <bottom/>
      <diagonal/>
    </border>
    <border>
      <left/>
      <right style="double">
        <color indexed="35"/>
      </right>
      <top/>
      <bottom/>
      <diagonal/>
    </border>
    <border>
      <left/>
      <right/>
      <top/>
      <bottom style="double">
        <color indexed="35"/>
      </bottom>
      <diagonal/>
    </border>
    <border>
      <left/>
      <right style="double">
        <color indexed="35"/>
      </right>
      <top/>
      <bottom style="double">
        <color indexed="35"/>
      </bottom>
      <diagonal/>
    </border>
    <border>
      <left style="double">
        <color indexed="35"/>
      </left>
      <right/>
      <top/>
      <bottom/>
      <diagonal/>
    </border>
    <border>
      <left style="double">
        <color indexed="35"/>
      </left>
      <right/>
      <top/>
      <bottom style="double">
        <color indexed="35"/>
      </bottom>
      <diagonal/>
    </border>
    <border>
      <left style="double">
        <color indexed="35"/>
      </left>
      <right/>
      <top style="double">
        <color indexed="35"/>
      </top>
      <bottom/>
      <diagonal/>
    </border>
    <border>
      <left/>
      <right style="medium">
        <color indexed="16"/>
      </right>
      <top style="medium">
        <color indexed="16"/>
      </top>
      <bottom/>
      <diagonal/>
    </border>
    <border>
      <left style="medium">
        <color indexed="16"/>
      </left>
      <right/>
      <top/>
      <bottom style="medium">
        <color indexed="16"/>
      </bottom>
      <diagonal/>
    </border>
    <border>
      <left/>
      <right style="medium">
        <color indexed="16"/>
      </right>
      <top/>
      <bottom style="medium">
        <color indexed="16"/>
      </bottom>
      <diagonal/>
    </border>
  </borders>
  <cellStyleXfs count="73">
    <xf numFmtId="3" fontId="0" fillId="0" borderId="0" applyFill="0" applyBorder="0" applyProtection="0"/>
    <xf numFmtId="3" fontId="23" fillId="0" borderId="1"/>
    <xf numFmtId="3" fontId="23" fillId="0" borderId="2"/>
    <xf numFmtId="3" fontId="23" fillId="0" borderId="3"/>
    <xf numFmtId="3" fontId="23" fillId="0" borderId="4"/>
    <xf numFmtId="177" fontId="1" fillId="0" borderId="0" applyFont="0" applyFill="0" applyBorder="0" applyProtection="0">
      <alignment horizontal="right"/>
    </xf>
    <xf numFmtId="172" fontId="3" fillId="0" borderId="0" applyFont="0" applyFill="0" applyBorder="0" applyProtection="0">
      <alignment horizontal="right"/>
    </xf>
    <xf numFmtId="180" fontId="23" fillId="0" borderId="0" applyFont="0" applyFill="0" applyBorder="0" applyAlignment="0" applyProtection="0"/>
    <xf numFmtId="14" fontId="2" fillId="0" borderId="0" applyFont="0" applyFill="0" applyBorder="0" applyAlignment="0" applyProtection="0"/>
    <xf numFmtId="178" fontId="1" fillId="0" borderId="0" applyFont="0" applyFill="0" applyBorder="0" applyProtection="0">
      <alignment horizontal="right"/>
    </xf>
    <xf numFmtId="179" fontId="18" fillId="2" borderId="0" applyFont="0" applyFill="0" applyBorder="0" applyAlignment="0" applyProtection="0">
      <alignment horizontal="right"/>
    </xf>
    <xf numFmtId="173" fontId="1" fillId="0" borderId="0" applyFont="0" applyFill="0" applyBorder="0" applyProtection="0">
      <alignment horizontal="right"/>
    </xf>
    <xf numFmtId="181" fontId="23" fillId="0" borderId="0" applyFont="0" applyFill="0" applyBorder="0" applyAlignment="0" applyProtection="0">
      <alignment horizontal="right"/>
    </xf>
    <xf numFmtId="170" fontId="1" fillId="0" borderId="0" applyFont="0" applyFill="0" applyBorder="0" applyProtection="0">
      <alignment horizontal="right"/>
    </xf>
    <xf numFmtId="171" fontId="1" fillId="0" borderId="0" applyFont="0" applyFill="0" applyBorder="0" applyProtection="0">
      <alignment horizontal="right"/>
    </xf>
    <xf numFmtId="165" fontId="8" fillId="0" borderId="5" applyFont="0" applyFill="0" applyBorder="0" applyAlignment="0" applyProtection="0"/>
    <xf numFmtId="15" fontId="8" fillId="0" borderId="5" applyFont="0" applyFill="0" applyBorder="0" applyAlignment="0" applyProtection="0"/>
    <xf numFmtId="14" fontId="8" fillId="0" borderId="5" applyFont="0" applyFill="0" applyBorder="0" applyAlignment="0" applyProtection="0"/>
    <xf numFmtId="14" fontId="8" fillId="0" borderId="5" applyFont="0" applyFill="0" applyBorder="0" applyAlignment="0" applyProtection="0"/>
    <xf numFmtId="9" fontId="24" fillId="3" borderId="0" applyNumberFormat="0" applyBorder="0" applyAlignment="0" applyProtection="0">
      <alignment horizontal="right"/>
    </xf>
    <xf numFmtId="168" fontId="10" fillId="0" borderId="0" applyNumberFormat="0" applyFill="0" applyBorder="0" applyAlignment="0" applyProtection="0">
      <alignment horizontal="centerContinuous"/>
    </xf>
    <xf numFmtId="0" fontId="25" fillId="4" borderId="0" applyNumberFormat="0" applyFill="0" applyBorder="0" applyAlignment="0"/>
    <xf numFmtId="165" fontId="13" fillId="0" borderId="0" applyNumberFormat="0" applyFill="0" applyAlignment="0" applyProtection="0"/>
    <xf numFmtId="168" fontId="11" fillId="0" borderId="0" applyNumberFormat="0" applyFill="0" applyBorder="0" applyProtection="0">
      <alignment horizontal="center"/>
    </xf>
    <xf numFmtId="0" fontId="26" fillId="0" borderId="0" applyNumberFormat="0" applyFill="0" applyBorder="0" applyAlignment="0" applyProtection="0"/>
    <xf numFmtId="168" fontId="14" fillId="0" borderId="0" applyNumberFormat="0" applyFill="0" applyBorder="0" applyAlignment="0" applyProtection="0"/>
    <xf numFmtId="168" fontId="3" fillId="0" borderId="0" applyFont="0" applyFill="0" applyBorder="0" applyProtection="0">
      <alignment horizontal="justify" vertical="justify"/>
    </xf>
    <xf numFmtId="0" fontId="15" fillId="0" borderId="0" applyNumberFormat="0" applyFill="0" applyBorder="0" applyProtection="0">
      <alignment horizontal="left"/>
    </xf>
    <xf numFmtId="168" fontId="15" fillId="0" borderId="0" applyNumberFormat="0" applyFill="0" applyBorder="0" applyProtection="0">
      <alignment vertical="justify"/>
    </xf>
    <xf numFmtId="168" fontId="16" fillId="0" borderId="0" applyNumberFormat="0" applyFill="0" applyBorder="0" applyAlignment="0" applyProtection="0"/>
    <xf numFmtId="168" fontId="4" fillId="0" borderId="0" applyNumberFormat="0" applyFill="0" applyBorder="0" applyProtection="0">
      <alignment horizontal="justify" vertical="justify"/>
    </xf>
    <xf numFmtId="168" fontId="17" fillId="0" borderId="0" applyNumberFormat="0" applyFill="0" applyBorder="0" applyAlignment="0" applyProtection="0"/>
    <xf numFmtId="168" fontId="5" fillId="0" borderId="0" applyNumberFormat="0" applyFill="0" applyBorder="0" applyProtection="0">
      <alignment horizontal="justify" vertical="justify"/>
    </xf>
    <xf numFmtId="168" fontId="18" fillId="0" borderId="0" applyNumberFormat="0" applyFill="0" applyBorder="0" applyProtection="0">
      <alignment horizontal="right"/>
    </xf>
    <xf numFmtId="168" fontId="6" fillId="0" borderId="0" applyNumberFormat="0" applyFill="0" applyBorder="0" applyProtection="0">
      <alignment horizontal="justify" vertical="justify"/>
    </xf>
    <xf numFmtId="168" fontId="6" fillId="0" borderId="0" applyNumberFormat="0" applyFill="0" applyBorder="0" applyAlignment="0"/>
    <xf numFmtId="168" fontId="9" fillId="0" borderId="0" applyNumberFormat="0" applyFill="0" applyBorder="0" applyProtection="0">
      <alignment horizontal="justify" vertical="justify"/>
    </xf>
    <xf numFmtId="168" fontId="9" fillId="0" borderId="0" applyNumberFormat="0" applyFill="0" applyBorder="0" applyProtection="0">
      <alignment horizontal="right"/>
    </xf>
    <xf numFmtId="0" fontId="33" fillId="0" borderId="0" applyNumberFormat="0" applyFill="0" applyBorder="0" applyAlignment="0" applyProtection="0">
      <alignment vertical="top"/>
      <protection locked="0"/>
    </xf>
    <xf numFmtId="1" fontId="27" fillId="0" borderId="0"/>
    <xf numFmtId="0" fontId="12" fillId="0" borderId="6" applyNumberFormat="0" applyFill="0" applyBorder="0" applyAlignment="0" applyProtection="0">
      <alignment horizontal="centerContinuous"/>
    </xf>
    <xf numFmtId="1" fontId="18" fillId="0" borderId="0" applyFill="0" applyBorder="0" applyProtection="0">
      <alignment horizontal="right"/>
    </xf>
    <xf numFmtId="0" fontId="28" fillId="5" borderId="0" applyNumberFormat="0" applyFont="0" applyBorder="0" applyAlignment="0">
      <protection locked="0"/>
    </xf>
    <xf numFmtId="0" fontId="29" fillId="4" borderId="0" applyNumberFormat="0" applyBorder="0" applyAlignment="0">
      <protection locked="0"/>
    </xf>
    <xf numFmtId="182" fontId="30" fillId="0" borderId="0" applyNumberFormat="0" applyBorder="0" applyAlignment="0"/>
    <xf numFmtId="38" fontId="27" fillId="0" borderId="0" applyFont="0"/>
    <xf numFmtId="183" fontId="27" fillId="0" borderId="0" applyFont="0"/>
    <xf numFmtId="184" fontId="27" fillId="0" borderId="0" applyFont="0"/>
    <xf numFmtId="185" fontId="27" fillId="0" borderId="0" applyFont="0"/>
    <xf numFmtId="186" fontId="27" fillId="0" borderId="0" applyFont="0"/>
    <xf numFmtId="187" fontId="27" fillId="0" borderId="0" applyFont="0"/>
    <xf numFmtId="188" fontId="27" fillId="0" borderId="0" applyFont="0" applyFill="0" applyBorder="0" applyProtection="0"/>
    <xf numFmtId="189" fontId="27" fillId="0" borderId="0" applyFont="0" applyFill="0" applyBorder="0" applyProtection="0"/>
    <xf numFmtId="190" fontId="27" fillId="0" borderId="0" applyFont="0" applyFill="0" applyBorder="0" applyProtection="0"/>
    <xf numFmtId="191" fontId="27" fillId="0" borderId="0" applyFont="0" applyFill="0" applyBorder="0" applyProtection="0"/>
    <xf numFmtId="192" fontId="27" fillId="0" borderId="0" applyFont="0" applyFill="0" applyBorder="0" applyProtection="0"/>
    <xf numFmtId="193" fontId="27" fillId="0" borderId="0" applyFont="0" applyFill="0" applyBorder="0" applyProtection="0"/>
    <xf numFmtId="194" fontId="28" fillId="0" borderId="0" applyFont="0" applyFill="0" applyBorder="0" applyAlignment="0" applyProtection="0"/>
    <xf numFmtId="174" fontId="1" fillId="0" borderId="0" applyFont="0" applyFill="0" applyBorder="0" applyProtection="0">
      <alignment horizontal="right"/>
    </xf>
    <xf numFmtId="175" fontId="1" fillId="0" borderId="0" applyFont="0" applyFill="0" applyBorder="0" applyProtection="0">
      <alignment horizontal="right"/>
    </xf>
    <xf numFmtId="166" fontId="1" fillId="0" borderId="7" applyFont="0" applyFill="0" applyBorder="0" applyProtection="0">
      <alignment horizontal="right"/>
    </xf>
    <xf numFmtId="195" fontId="27" fillId="0" borderId="0" applyFont="0" applyFill="0" applyBorder="0" applyProtection="0"/>
    <xf numFmtId="196" fontId="27" fillId="0" borderId="0" applyFont="0" applyFill="0" applyBorder="0" applyProtection="0"/>
    <xf numFmtId="3" fontId="18" fillId="2" borderId="0"/>
    <xf numFmtId="3" fontId="19" fillId="5" borderId="4" applyNumberFormat="0" applyProtection="0">
      <alignment horizontal="right"/>
    </xf>
    <xf numFmtId="0" fontId="18" fillId="0" borderId="3">
      <alignment horizontal="right"/>
    </xf>
    <xf numFmtId="15" fontId="18" fillId="2" borderId="8" applyNumberFormat="0" applyAlignment="0" applyProtection="0">
      <alignment horizontal="right"/>
    </xf>
    <xf numFmtId="3" fontId="18" fillId="0" borderId="9" applyNumberFormat="0" applyBorder="0" applyAlignment="0" applyProtection="0"/>
    <xf numFmtId="169" fontId="19" fillId="0" borderId="0" applyNumberFormat="0" applyBorder="0" applyAlignment="0" applyProtection="0"/>
    <xf numFmtId="3" fontId="19" fillId="6" borderId="10" applyNumberFormat="0" applyAlignment="0" applyProtection="0">
      <alignment horizontal="justify"/>
    </xf>
    <xf numFmtId="3" fontId="18" fillId="2" borderId="8" applyNumberFormat="0" applyProtection="0">
      <alignment horizontal="right"/>
    </xf>
    <xf numFmtId="0" fontId="31" fillId="0" borderId="11" applyNumberFormat="0">
      <alignment horizontal="justify" vertical="top"/>
    </xf>
    <xf numFmtId="0" fontId="27" fillId="0" borderId="0" applyNumberFormat="0" applyFill="0" applyBorder="0" applyAlignment="0" applyProtection="0"/>
  </cellStyleXfs>
  <cellXfs count="128">
    <xf numFmtId="3" fontId="0" fillId="0" borderId="0" xfId="0"/>
    <xf numFmtId="3" fontId="1" fillId="0" borderId="0" xfId="0" applyFont="1"/>
    <xf numFmtId="3" fontId="2" fillId="0" borderId="0" xfId="0" applyFont="1"/>
    <xf numFmtId="3" fontId="7" fillId="0" borderId="0" xfId="0" applyFont="1"/>
    <xf numFmtId="168" fontId="14" fillId="0" borderId="0" xfId="25"/>
    <xf numFmtId="168" fontId="15" fillId="0" borderId="0" xfId="27" applyNumberFormat="1">
      <alignment horizontal="left"/>
    </xf>
    <xf numFmtId="15" fontId="20" fillId="0" borderId="0" xfId="16" applyFont="1" applyBorder="1"/>
    <xf numFmtId="3" fontId="0" fillId="0" borderId="1" xfId="0" applyBorder="1"/>
    <xf numFmtId="3" fontId="2" fillId="0" borderId="3" xfId="0" applyFont="1" applyBorder="1"/>
    <xf numFmtId="0" fontId="16" fillId="0" borderId="0" xfId="29" applyNumberFormat="1" applyAlignment="1">
      <alignment horizontal="left"/>
    </xf>
    <xf numFmtId="3" fontId="0" fillId="0" borderId="3" xfId="0" applyBorder="1"/>
    <xf numFmtId="15" fontId="18" fillId="0" borderId="0" xfId="67" applyNumberFormat="1" applyBorder="1"/>
    <xf numFmtId="15" fontId="18" fillId="0" borderId="0" xfId="67" applyNumberFormat="1" applyBorder="1" applyAlignment="1">
      <alignment horizontal="justify"/>
    </xf>
    <xf numFmtId="0" fontId="18" fillId="0" borderId="3" xfId="65">
      <alignment horizontal="right"/>
    </xf>
    <xf numFmtId="178" fontId="0" fillId="0" borderId="1" xfId="9" applyFont="1" applyBorder="1">
      <alignment horizontal="right"/>
    </xf>
    <xf numFmtId="3" fontId="0" fillId="7" borderId="0" xfId="0" applyFill="1"/>
    <xf numFmtId="3" fontId="2" fillId="7" borderId="12" xfId="0" applyFont="1" applyFill="1" applyBorder="1"/>
    <xf numFmtId="3" fontId="21" fillId="7" borderId="12" xfId="0" applyFont="1" applyFill="1" applyBorder="1"/>
    <xf numFmtId="15" fontId="18" fillId="0" borderId="0" xfId="67" applyNumberFormat="1" applyBorder="1" applyAlignment="1">
      <alignment horizontal="centerContinuous"/>
    </xf>
    <xf numFmtId="0" fontId="18" fillId="0" borderId="0" xfId="65" applyBorder="1">
      <alignment horizontal="right"/>
    </xf>
    <xf numFmtId="0" fontId="18" fillId="0" borderId="1" xfId="65" applyBorder="1">
      <alignment horizontal="right"/>
    </xf>
    <xf numFmtId="1" fontId="18" fillId="0" borderId="0" xfId="67" applyNumberFormat="1" applyBorder="1" applyAlignment="1">
      <alignment horizontal="justify"/>
    </xf>
    <xf numFmtId="167" fontId="13" fillId="0" borderId="0" xfId="22" applyNumberFormat="1"/>
    <xf numFmtId="15" fontId="0" fillId="0" borderId="4" xfId="16" applyFont="1" applyBorder="1"/>
    <xf numFmtId="0" fontId="18" fillId="0" borderId="3" xfId="65" applyAlignment="1">
      <alignment horizontal="left"/>
    </xf>
    <xf numFmtId="0" fontId="18" fillId="0" borderId="0" xfId="65" applyBorder="1" applyAlignment="1">
      <alignment horizontal="left" wrapText="1"/>
    </xf>
    <xf numFmtId="0" fontId="18" fillId="0" borderId="0" xfId="65" applyBorder="1" applyAlignment="1"/>
    <xf numFmtId="177" fontId="22" fillId="0" borderId="0" xfId="67" applyNumberFormat="1" applyFont="1" applyBorder="1" applyAlignment="1">
      <alignment horizontal="right"/>
    </xf>
    <xf numFmtId="3" fontId="23" fillId="0" borderId="1" xfId="1"/>
    <xf numFmtId="3" fontId="23" fillId="0" borderId="4" xfId="4"/>
    <xf numFmtId="3" fontId="23" fillId="0" borderId="3" xfId="3"/>
    <xf numFmtId="3" fontId="18" fillId="0" borderId="0" xfId="67" applyBorder="1" applyAlignment="1">
      <alignment horizontal="center"/>
    </xf>
    <xf numFmtId="177" fontId="0" fillId="0" borderId="0" xfId="5" applyFont="1" applyAlignment="1">
      <alignment horizontal="center"/>
    </xf>
    <xf numFmtId="178" fontId="0" fillId="0" borderId="0" xfId="9" applyFont="1" applyAlignment="1">
      <alignment horizontal="center"/>
    </xf>
    <xf numFmtId="166" fontId="0" fillId="0" borderId="0" xfId="60" applyFont="1" applyBorder="1" applyAlignment="1">
      <alignment horizontal="center"/>
    </xf>
    <xf numFmtId="15" fontId="22" fillId="0" borderId="0" xfId="67" applyNumberFormat="1" applyFont="1" applyBorder="1"/>
    <xf numFmtId="178" fontId="22" fillId="0" borderId="0" xfId="67" applyNumberFormat="1" applyFont="1" applyBorder="1" applyAlignment="1">
      <alignment horizontal="right"/>
    </xf>
    <xf numFmtId="164" fontId="22" fillId="0" borderId="0" xfId="67" applyNumberFormat="1" applyFont="1" applyBorder="1"/>
    <xf numFmtId="167" fontId="22" fillId="0" borderId="0" xfId="67" applyNumberFormat="1" applyFont="1" applyBorder="1"/>
    <xf numFmtId="176" fontId="22" fillId="0" borderId="0" xfId="67" applyNumberFormat="1" applyFont="1" applyBorder="1" applyAlignment="1">
      <alignment horizontal="right"/>
    </xf>
    <xf numFmtId="1" fontId="22" fillId="0" borderId="0" xfId="67" applyNumberFormat="1" applyFont="1" applyBorder="1" applyAlignment="1">
      <alignment horizontal="justify"/>
    </xf>
    <xf numFmtId="1" fontId="18" fillId="0" borderId="0" xfId="41">
      <alignment horizontal="right"/>
    </xf>
    <xf numFmtId="15" fontId="18" fillId="0" borderId="0" xfId="67" applyNumberFormat="1" applyBorder="1" applyAlignment="1">
      <alignment horizontal="centerContinuous" wrapText="1"/>
    </xf>
    <xf numFmtId="15" fontId="18" fillId="0" borderId="3" xfId="65" applyNumberFormat="1" applyAlignment="1"/>
    <xf numFmtId="3" fontId="0" fillId="8" borderId="13" xfId="0" applyFill="1" applyBorder="1"/>
    <xf numFmtId="3" fontId="0" fillId="8" borderId="14" xfId="0" applyFill="1" applyBorder="1"/>
    <xf numFmtId="3" fontId="33" fillId="8" borderId="0" xfId="38" applyNumberFormat="1" applyFill="1" applyBorder="1" applyAlignment="1" applyProtection="1"/>
    <xf numFmtId="3" fontId="0" fillId="8" borderId="0" xfId="0" applyFill="1" applyBorder="1"/>
    <xf numFmtId="3" fontId="0" fillId="8" borderId="15" xfId="0" applyFill="1" applyBorder="1"/>
    <xf numFmtId="3" fontId="0" fillId="8" borderId="16" xfId="0" applyFill="1" applyBorder="1"/>
    <xf numFmtId="3" fontId="0" fillId="8" borderId="17" xfId="0" applyFill="1" applyBorder="1"/>
    <xf numFmtId="0" fontId="18" fillId="0" borderId="1" xfId="65" applyBorder="1" applyAlignment="1">
      <alignment horizontal="centerContinuous"/>
    </xf>
    <xf numFmtId="0" fontId="18" fillId="0" borderId="0" xfId="65" applyBorder="1" applyAlignment="1">
      <alignment horizontal="centerContinuous"/>
    </xf>
    <xf numFmtId="15" fontId="0" fillId="0" borderId="0" xfId="16" applyFont="1" applyBorder="1"/>
    <xf numFmtId="15" fontId="32" fillId="0" borderId="0" xfId="16" applyFont="1" applyBorder="1"/>
    <xf numFmtId="178" fontId="0" fillId="0" borderId="0" xfId="9" applyFont="1">
      <alignment horizontal="right"/>
    </xf>
    <xf numFmtId="164" fontId="22" fillId="0" borderId="0" xfId="67" applyNumberFormat="1" applyFont="1" applyBorder="1" applyAlignment="1"/>
    <xf numFmtId="3" fontId="18" fillId="0" borderId="0" xfId="67" applyBorder="1" applyAlignment="1">
      <alignment wrapText="1"/>
    </xf>
    <xf numFmtId="175" fontId="0" fillId="0" borderId="0" xfId="59" applyFont="1">
      <alignment horizontal="right"/>
    </xf>
    <xf numFmtId="180" fontId="24" fillId="3" borderId="0" xfId="19" applyNumberFormat="1">
      <alignment horizontal="right"/>
    </xf>
    <xf numFmtId="180" fontId="0" fillId="0" borderId="0" xfId="7" applyFont="1" applyAlignment="1">
      <alignment horizontal="right"/>
    </xf>
    <xf numFmtId="3" fontId="0" fillId="7" borderId="0" xfId="0" applyFill="1" applyAlignment="1">
      <alignment horizontal="right"/>
    </xf>
    <xf numFmtId="3" fontId="2" fillId="7" borderId="12" xfId="0" applyFont="1" applyFill="1" applyBorder="1" applyAlignment="1">
      <alignment horizontal="right"/>
    </xf>
    <xf numFmtId="3" fontId="0" fillId="0" borderId="0" xfId="0" applyAlignment="1">
      <alignment horizontal="right"/>
    </xf>
    <xf numFmtId="3" fontId="0" fillId="8" borderId="18" xfId="0" applyFill="1" applyBorder="1" applyAlignment="1">
      <alignment horizontal="right"/>
    </xf>
    <xf numFmtId="3" fontId="0" fillId="8" borderId="18" xfId="0" applyFill="1" applyBorder="1" applyAlignment="1">
      <alignment horizontal="right" vertical="center"/>
    </xf>
    <xf numFmtId="3" fontId="23" fillId="0" borderId="3" xfId="3" applyAlignment="1">
      <alignment horizontal="right"/>
    </xf>
    <xf numFmtId="3" fontId="0" fillId="8" borderId="19" xfId="0" applyFill="1" applyBorder="1" applyAlignment="1">
      <alignment horizontal="right"/>
    </xf>
    <xf numFmtId="3" fontId="2" fillId="0" borderId="0" xfId="0" applyFont="1" applyAlignment="1">
      <alignment horizontal="right"/>
    </xf>
    <xf numFmtId="15" fontId="0" fillId="0" borderId="4" xfId="16" applyFont="1" applyBorder="1" applyAlignment="1">
      <alignment horizontal="right"/>
    </xf>
    <xf numFmtId="3" fontId="18" fillId="0" borderId="0" xfId="67" applyBorder="1" applyAlignment="1">
      <alignment horizontal="right"/>
    </xf>
    <xf numFmtId="177" fontId="0" fillId="0" borderId="0" xfId="5" applyFont="1">
      <alignment horizontal="right"/>
    </xf>
    <xf numFmtId="166" fontId="0" fillId="0" borderId="0" xfId="60" applyFont="1" applyBorder="1">
      <alignment horizontal="right"/>
    </xf>
    <xf numFmtId="3" fontId="0" fillId="0" borderId="1" xfId="0" applyBorder="1" applyAlignment="1">
      <alignment horizontal="right"/>
    </xf>
    <xf numFmtId="3" fontId="23" fillId="0" borderId="4" xfId="4" applyAlignment="1">
      <alignment horizontal="right"/>
    </xf>
    <xf numFmtId="15" fontId="18" fillId="0" borderId="0" xfId="67" applyNumberFormat="1" applyBorder="1" applyAlignment="1">
      <alignment horizontal="right"/>
    </xf>
    <xf numFmtId="15" fontId="22" fillId="0" borderId="0" xfId="67" applyNumberFormat="1" applyFont="1" applyBorder="1" applyAlignment="1">
      <alignment horizontal="right"/>
    </xf>
    <xf numFmtId="3" fontId="18" fillId="0" borderId="0" xfId="67" applyBorder="1" applyAlignment="1">
      <alignment horizontal="right" wrapText="1"/>
    </xf>
    <xf numFmtId="3" fontId="23" fillId="0" borderId="1" xfId="1" applyAlignment="1">
      <alignment horizontal="right"/>
    </xf>
    <xf numFmtId="3" fontId="1" fillId="0" borderId="0" xfId="0" applyFont="1" applyAlignment="1">
      <alignment horizontal="right"/>
    </xf>
    <xf numFmtId="3" fontId="34" fillId="8" borderId="20" xfId="0" applyFont="1" applyFill="1" applyBorder="1" applyAlignment="1">
      <alignment horizontal="left"/>
    </xf>
    <xf numFmtId="3" fontId="11" fillId="0" borderId="0" xfId="23" applyNumberFormat="1">
      <alignment horizontal="center"/>
    </xf>
    <xf numFmtId="0" fontId="16" fillId="0" borderId="0" xfId="29" applyNumberFormat="1" applyFill="1" applyBorder="1" applyAlignment="1">
      <alignment horizontal="left"/>
    </xf>
    <xf numFmtId="3" fontId="1" fillId="0" borderId="0" xfId="0" applyFont="1" applyAlignment="1">
      <alignment horizontal="center"/>
    </xf>
    <xf numFmtId="177" fontId="13" fillId="0" borderId="0" xfId="22" applyNumberFormat="1" applyAlignment="1">
      <alignment horizontal="right"/>
    </xf>
    <xf numFmtId="166" fontId="13" fillId="0" borderId="0" xfId="22" applyNumberFormat="1" applyAlignment="1">
      <alignment horizontal="right"/>
    </xf>
    <xf numFmtId="170" fontId="0" fillId="0" borderId="0" xfId="13" applyFont="1">
      <alignment horizontal="right"/>
    </xf>
    <xf numFmtId="178" fontId="24" fillId="3" borderId="0" xfId="9" applyFont="1" applyFill="1">
      <alignment horizontal="right"/>
    </xf>
    <xf numFmtId="3" fontId="33" fillId="8" borderId="16" xfId="38" applyNumberFormat="1" applyFill="1" applyBorder="1" applyAlignment="1" applyProtection="1"/>
    <xf numFmtId="3" fontId="18" fillId="0" borderId="0" xfId="66" applyNumberFormat="1" applyFill="1" applyBorder="1" applyAlignment="1">
      <alignment horizontal="justify"/>
    </xf>
    <xf numFmtId="178" fontId="18" fillId="0" borderId="3" xfId="9" applyFont="1" applyBorder="1">
      <alignment horizontal="right"/>
    </xf>
    <xf numFmtId="15" fontId="18" fillId="0" borderId="0" xfId="67" applyNumberFormat="1" applyBorder="1" applyAlignment="1">
      <alignment horizontal="center" wrapText="1"/>
    </xf>
    <xf numFmtId="15" fontId="22" fillId="0" borderId="0" xfId="16" applyFont="1" applyBorder="1" applyAlignment="1">
      <alignment horizontal="right"/>
    </xf>
    <xf numFmtId="15" fontId="0" fillId="0" borderId="1" xfId="16" applyFont="1" applyBorder="1"/>
    <xf numFmtId="164" fontId="13" fillId="10" borderId="0" xfId="22" applyNumberFormat="1" applyFill="1"/>
    <xf numFmtId="167" fontId="13" fillId="10" borderId="0" xfId="22" applyNumberFormat="1" applyFill="1"/>
    <xf numFmtId="15" fontId="13" fillId="10" borderId="0" xfId="16" applyFont="1" applyFill="1" applyBorder="1" applyAlignment="1">
      <alignment horizontal="right"/>
    </xf>
    <xf numFmtId="178" fontId="13" fillId="10" borderId="0" xfId="22" applyNumberFormat="1" applyFill="1" applyAlignment="1">
      <alignment horizontal="right"/>
    </xf>
    <xf numFmtId="166" fontId="13" fillId="10" borderId="0" xfId="22" applyNumberFormat="1" applyFill="1" applyAlignment="1">
      <alignment horizontal="right"/>
    </xf>
    <xf numFmtId="3" fontId="23" fillId="0" borderId="0" xfId="3" applyBorder="1"/>
    <xf numFmtId="1" fontId="18" fillId="0" borderId="9" xfId="41" applyBorder="1">
      <alignment horizontal="right"/>
    </xf>
    <xf numFmtId="197" fontId="18" fillId="0" borderId="1" xfId="41" applyNumberFormat="1" applyBorder="1" applyAlignment="1">
      <alignment horizontal="center"/>
    </xf>
    <xf numFmtId="197" fontId="18" fillId="0" borderId="21" xfId="41" applyNumberFormat="1" applyBorder="1" applyAlignment="1">
      <alignment horizontal="center"/>
    </xf>
    <xf numFmtId="1" fontId="18" fillId="0" borderId="3" xfId="41" applyBorder="1">
      <alignment horizontal="right"/>
    </xf>
    <xf numFmtId="3" fontId="2" fillId="0" borderId="0" xfId="0" applyFont="1" applyBorder="1" applyAlignment="1">
      <alignment horizontal="center"/>
    </xf>
    <xf numFmtId="3" fontId="18" fillId="0" borderId="2" xfId="67" applyBorder="1" applyAlignment="1">
      <alignment horizontal="center"/>
    </xf>
    <xf numFmtId="166" fontId="18" fillId="0" borderId="2" xfId="67" applyNumberFormat="1" applyBorder="1" applyAlignment="1">
      <alignment horizontal="center"/>
    </xf>
    <xf numFmtId="1" fontId="18" fillId="0" borderId="3" xfId="41" applyBorder="1" applyAlignment="1">
      <alignment horizontal="right" wrapText="1"/>
    </xf>
    <xf numFmtId="1" fontId="18" fillId="0" borderId="22" xfId="41" applyBorder="1">
      <alignment horizontal="right"/>
    </xf>
    <xf numFmtId="3" fontId="2" fillId="0" borderId="4" xfId="0" applyFont="1" applyBorder="1" applyAlignment="1">
      <alignment horizontal="center"/>
    </xf>
    <xf numFmtId="3" fontId="18" fillId="0" borderId="4" xfId="67" applyBorder="1" applyAlignment="1">
      <alignment horizontal="center"/>
    </xf>
    <xf numFmtId="3" fontId="18" fillId="0" borderId="23" xfId="67" applyBorder="1" applyAlignment="1">
      <alignment horizontal="center"/>
    </xf>
    <xf numFmtId="0" fontId="13" fillId="10" borderId="0" xfId="22" applyNumberFormat="1" applyFill="1" applyAlignment="1">
      <alignment horizontal="left"/>
    </xf>
    <xf numFmtId="1" fontId="13" fillId="10" borderId="0" xfId="22" applyNumberFormat="1" applyFill="1" applyAlignment="1">
      <alignment horizontal="right"/>
    </xf>
    <xf numFmtId="15" fontId="13" fillId="10" borderId="0" xfId="22" applyNumberFormat="1" applyFill="1"/>
    <xf numFmtId="198" fontId="32" fillId="10" borderId="0" xfId="22" applyNumberFormat="1" applyFont="1" applyFill="1" applyAlignment="1">
      <alignment horizontal="right" vertical="center"/>
    </xf>
    <xf numFmtId="15" fontId="32" fillId="10" borderId="0" xfId="22" applyNumberFormat="1" applyFont="1" applyFill="1" applyAlignment="1">
      <alignment horizontal="right"/>
    </xf>
    <xf numFmtId="14" fontId="32" fillId="10" borderId="0" xfId="22" applyNumberFormat="1" applyFont="1" applyFill="1"/>
    <xf numFmtId="177" fontId="13" fillId="10" borderId="0" xfId="22" applyNumberFormat="1" applyFill="1" applyAlignment="1">
      <alignment horizontal="right"/>
    </xf>
    <xf numFmtId="3" fontId="0" fillId="11" borderId="0" xfId="0" applyFill="1"/>
    <xf numFmtId="178" fontId="0" fillId="11" borderId="0" xfId="9" applyFont="1" applyFill="1">
      <alignment horizontal="right"/>
    </xf>
    <xf numFmtId="1" fontId="18" fillId="9" borderId="0" xfId="67" applyNumberFormat="1" applyFill="1" applyBorder="1" applyAlignment="1">
      <alignment horizontal="justify" wrapText="1"/>
    </xf>
    <xf numFmtId="3" fontId="0" fillId="9" borderId="0" xfId="0" applyFill="1" applyAlignment="1">
      <alignment wrapText="1"/>
    </xf>
    <xf numFmtId="3" fontId="0" fillId="9" borderId="4" xfId="0" applyFill="1" applyBorder="1" applyAlignment="1">
      <alignment wrapText="1"/>
    </xf>
    <xf numFmtId="3" fontId="0" fillId="8" borderId="0" xfId="0" applyFill="1" applyBorder="1" applyAlignment="1">
      <alignment wrapText="1"/>
    </xf>
    <xf numFmtId="3" fontId="0" fillId="8" borderId="15" xfId="0" applyFill="1" applyBorder="1" applyAlignment="1">
      <alignment wrapText="1"/>
    </xf>
    <xf numFmtId="15" fontId="18" fillId="0" borderId="0" xfId="67" applyNumberFormat="1" applyBorder="1" applyAlignment="1">
      <alignment horizontal="center" wrapText="1"/>
    </xf>
    <xf numFmtId="3" fontId="0" fillId="0" borderId="0" xfId="0" applyAlignment="1">
      <alignment horizontal="center"/>
    </xf>
  </cellXfs>
  <cellStyles count="73">
    <cellStyle name="BorderBottom" xfId="1" xr:uid="{00000000-0005-0000-0000-000000000000}"/>
    <cellStyle name="BorderLeft" xfId="2" xr:uid="{00000000-0005-0000-0000-000001000000}"/>
    <cellStyle name="BorderRight" xfId="3" xr:uid="{00000000-0005-0000-0000-000002000000}"/>
    <cellStyle name="BorderTop" xfId="4" xr:uid="{00000000-0005-0000-0000-000003000000}"/>
    <cellStyle name="D0" xfId="5" xr:uid="{00000000-0005-0000-0000-000004000000}"/>
    <cellStyle name="D1" xfId="6" xr:uid="{00000000-0005-0000-0000-000005000000}"/>
    <cellStyle name="D-1" xfId="7" xr:uid="{00000000-0005-0000-0000-000006000000}"/>
    <cellStyle name="D2" xfId="8" xr:uid="{00000000-0005-0000-0000-000007000000}"/>
    <cellStyle name="D-2" xfId="9" xr:uid="{00000000-0005-0000-0000-000008000000}"/>
    <cellStyle name="d3" xfId="10" xr:uid="{00000000-0005-0000-0000-000009000000}"/>
    <cellStyle name="d3.0" xfId="11" xr:uid="{00000000-0005-0000-0000-00000A000000}"/>
    <cellStyle name="d3.3" xfId="12" xr:uid="{00000000-0005-0000-0000-00000B000000}"/>
    <cellStyle name="d-4" xfId="13" xr:uid="{00000000-0005-0000-0000-00000C000000}"/>
    <cellStyle name="d-6" xfId="14" xr:uid="{00000000-0005-0000-0000-00000D000000}"/>
    <cellStyle name="Dateletlong" xfId="15" xr:uid="{00000000-0005-0000-0000-00000E000000}"/>
    <cellStyle name="Dateletshort" xfId="16" xr:uid="{00000000-0005-0000-0000-00000F000000}"/>
    <cellStyle name="Datenumlong" xfId="17" xr:uid="{00000000-0005-0000-0000-000010000000}"/>
    <cellStyle name="Datenumshort" xfId="18" xr:uid="{00000000-0005-0000-0000-000011000000}"/>
    <cellStyle name="Different" xfId="19" xr:uid="{00000000-0005-0000-0000-000012000000}"/>
    <cellStyle name="DontCopy" xfId="20" xr:uid="{00000000-0005-0000-0000-000013000000}"/>
    <cellStyle name="dr" xfId="21" xr:uid="{00000000-0005-0000-0000-000014000000}"/>
    <cellStyle name="Enter" xfId="22" xr:uid="{00000000-0005-0000-0000-000015000000}"/>
    <cellStyle name="ErrorCheck" xfId="23" xr:uid="{00000000-0005-0000-0000-000016000000}"/>
    <cellStyle name="Generous" xfId="24" xr:uid="{00000000-0005-0000-0000-000017000000}"/>
    <cellStyle name="h1" xfId="25" xr:uid="{00000000-0005-0000-0000-000018000000}"/>
    <cellStyle name="H1j" xfId="26" xr:uid="{00000000-0005-0000-0000-000019000000}"/>
    <cellStyle name="h2" xfId="27" xr:uid="{00000000-0005-0000-0000-00001A000000}"/>
    <cellStyle name="H2J" xfId="28" xr:uid="{00000000-0005-0000-0000-00001B000000}"/>
    <cellStyle name="h3" xfId="29" xr:uid="{00000000-0005-0000-0000-00001C000000}"/>
    <cellStyle name="H3j" xfId="30" xr:uid="{00000000-0005-0000-0000-00001D000000}"/>
    <cellStyle name="H4" xfId="31" xr:uid="{00000000-0005-0000-0000-00001E000000}"/>
    <cellStyle name="H4J" xfId="32" xr:uid="{00000000-0005-0000-0000-00001F000000}"/>
    <cellStyle name="H5" xfId="33" xr:uid="{00000000-0005-0000-0000-000020000000}"/>
    <cellStyle name="H5J" xfId="34" xr:uid="{00000000-0005-0000-0000-000021000000}"/>
    <cellStyle name="H6" xfId="35" xr:uid="{00000000-0005-0000-0000-000022000000}"/>
    <cellStyle name="H6J" xfId="36" xr:uid="{00000000-0005-0000-0000-000023000000}"/>
    <cellStyle name="H6R" xfId="37" xr:uid="{00000000-0005-0000-0000-000024000000}"/>
    <cellStyle name="Hyperlink" xfId="38" builtinId="8"/>
    <cellStyle name="I" xfId="39" xr:uid="{00000000-0005-0000-0000-000026000000}"/>
    <cellStyle name="Important" xfId="40" xr:uid="{00000000-0005-0000-0000-000027000000}"/>
    <cellStyle name="IndexSerial" xfId="41" xr:uid="{00000000-0005-0000-0000-000028000000}"/>
    <cellStyle name="input" xfId="42" xr:uid="{00000000-0005-0000-0000-000029000000}"/>
    <cellStyle name="m" xfId="43" xr:uid="{00000000-0005-0000-0000-00002A000000}"/>
    <cellStyle name="-m" xfId="44" xr:uid="{00000000-0005-0000-0000-00002B000000}"/>
    <cellStyle name="N00" xfId="45" xr:uid="{00000000-0005-0000-0000-00002C000000}"/>
    <cellStyle name="N0B" xfId="46" xr:uid="{00000000-0005-0000-0000-00002D000000}"/>
    <cellStyle name="N0N" xfId="47" xr:uid="{00000000-0005-0000-0000-00002E000000}"/>
    <cellStyle name="N-20" xfId="48" xr:uid="{00000000-0005-0000-0000-00002F000000}"/>
    <cellStyle name="N-2B" xfId="49" xr:uid="{00000000-0005-0000-0000-000030000000}"/>
    <cellStyle name="N-2N" xfId="50" xr:uid="{00000000-0005-0000-0000-000031000000}"/>
    <cellStyle name="N30" xfId="51" xr:uid="{00000000-0005-0000-0000-000032000000}"/>
    <cellStyle name="N3B" xfId="52" xr:uid="{00000000-0005-0000-0000-000033000000}"/>
    <cellStyle name="N3N" xfId="53" xr:uid="{00000000-0005-0000-0000-000034000000}"/>
    <cellStyle name="N-40" xfId="54" xr:uid="{00000000-0005-0000-0000-000035000000}"/>
    <cellStyle name="N-4B" xfId="55" xr:uid="{00000000-0005-0000-0000-000036000000}"/>
    <cellStyle name="N-4N" xfId="56" xr:uid="{00000000-0005-0000-0000-000037000000}"/>
    <cellStyle name="n-60" xfId="57" xr:uid="{00000000-0005-0000-0000-000038000000}"/>
    <cellStyle name="Normal" xfId="0" builtinId="0"/>
    <cellStyle name="P0" xfId="58" xr:uid="{00000000-0005-0000-0000-00003A000000}"/>
    <cellStyle name="p1" xfId="59" xr:uid="{00000000-0005-0000-0000-00003B000000}"/>
    <cellStyle name="P2" xfId="60" xr:uid="{00000000-0005-0000-0000-00003C000000}"/>
    <cellStyle name="P3" xfId="61" xr:uid="{00000000-0005-0000-0000-00003D000000}"/>
    <cellStyle name="P4" xfId="62" xr:uid="{00000000-0005-0000-0000-00003E000000}"/>
    <cellStyle name="t" xfId="63" xr:uid="{00000000-0005-0000-0000-00003F000000}"/>
    <cellStyle name="TableBottom" xfId="64" xr:uid="{00000000-0005-0000-0000-000040000000}"/>
    <cellStyle name="TableButt" xfId="65" xr:uid="{00000000-0005-0000-0000-000041000000}"/>
    <cellStyle name="TableButtSum" xfId="66" xr:uid="{00000000-0005-0000-0000-000042000000}"/>
    <cellStyle name="TableGeneral" xfId="67" xr:uid="{00000000-0005-0000-0000-000043000000}"/>
    <cellStyle name="TableHead" xfId="68" xr:uid="{00000000-0005-0000-0000-000044000000}"/>
    <cellStyle name="TableRight" xfId="69" xr:uid="{00000000-0005-0000-0000-000045000000}"/>
    <cellStyle name="TableSum" xfId="70" xr:uid="{00000000-0005-0000-0000-000046000000}"/>
    <cellStyle name="top" xfId="71" xr:uid="{00000000-0005-0000-0000-000047000000}"/>
    <cellStyle name="Usual" xfId="72" xr:uid="{00000000-0005-0000-0000-000048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401802500918252"/>
          <c:y val="0.1074768807427368"/>
          <c:w val="0.76785797975592451"/>
          <c:h val="0.59345929801424235"/>
        </c:manualLayout>
      </c:layout>
      <c:lineChart>
        <c:grouping val="standard"/>
        <c:varyColors val="0"/>
        <c:ser>
          <c:idx val="1"/>
          <c:order val="0"/>
          <c:tx>
            <c:strRef>
              <c:f>Calculation!$G$134</c:f>
              <c:strCache>
                <c:ptCount val="1"/>
                <c:pt idx="0">
                  <c:v>Average accrued</c:v>
                </c:pt>
              </c:strCache>
            </c:strRef>
          </c:tx>
          <c:spPr>
            <a:ln w="25400">
              <a:solidFill>
                <a:srgbClr val="FF0000"/>
              </a:solidFill>
              <a:prstDash val="solid"/>
            </a:ln>
          </c:spPr>
          <c:marker>
            <c:symbol val="none"/>
          </c:marker>
          <c:cat>
            <c:numRef>
              <c:f>Calculation!$E$135:$E$155</c:f>
              <c:numCache>
                <c:formatCode>#,##0</c:formatCode>
                <c:ptCount val="21"/>
                <c:pt idx="0">
                  <c:v>125.5</c:v>
                </c:pt>
                <c:pt idx="1">
                  <c:v>125.5</c:v>
                </c:pt>
                <c:pt idx="2">
                  <c:v>125.5</c:v>
                </c:pt>
                <c:pt idx="3">
                  <c:v>125.5</c:v>
                </c:pt>
                <c:pt idx="4">
                  <c:v>125.5</c:v>
                </c:pt>
                <c:pt idx="5">
                  <c:v>125.5</c:v>
                </c:pt>
                <c:pt idx="6">
                  <c:v>125.5</c:v>
                </c:pt>
                <c:pt idx="7">
                  <c:v>125.5</c:v>
                </c:pt>
                <c:pt idx="8">
                  <c:v>125.5</c:v>
                </c:pt>
                <c:pt idx="9">
                  <c:v>125.5</c:v>
                </c:pt>
                <c:pt idx="10">
                  <c:v>125.5</c:v>
                </c:pt>
                <c:pt idx="11">
                  <c:v>125.5</c:v>
                </c:pt>
                <c:pt idx="12">
                  <c:v>125.5</c:v>
                </c:pt>
                <c:pt idx="13">
                  <c:v>125.5</c:v>
                </c:pt>
                <c:pt idx="14">
                  <c:v>125.5</c:v>
                </c:pt>
                <c:pt idx="15">
                  <c:v>125.5</c:v>
                </c:pt>
                <c:pt idx="16">
                  <c:v>125.5</c:v>
                </c:pt>
                <c:pt idx="17">
                  <c:v>125.5</c:v>
                </c:pt>
                <c:pt idx="18">
                  <c:v>125.5</c:v>
                </c:pt>
                <c:pt idx="19">
                  <c:v>125.5</c:v>
                </c:pt>
                <c:pt idx="20">
                  <c:v>125.5</c:v>
                </c:pt>
              </c:numCache>
            </c:numRef>
          </c:cat>
          <c:val>
            <c:numRef>
              <c:f>Calculation!$G$135:$G$155</c:f>
              <c:numCache>
                <c:formatCode>#,##0.0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00-DC0B-4A54-9108-FF7C2797FF8B}"/>
            </c:ext>
          </c:extLst>
        </c:ser>
        <c:dLbls>
          <c:showLegendKey val="0"/>
          <c:showVal val="0"/>
          <c:showCatName val="0"/>
          <c:showSerName val="0"/>
          <c:showPercent val="0"/>
          <c:showBubbleSize val="0"/>
        </c:dLbls>
        <c:smooth val="0"/>
        <c:axId val="406301888"/>
        <c:axId val="1"/>
      </c:lineChart>
      <c:catAx>
        <c:axId val="406301888"/>
        <c:scaling>
          <c:orientation val="minMax"/>
        </c:scaling>
        <c:delete val="0"/>
        <c:axPos val="b"/>
        <c:majorGridlines>
          <c:spPr>
            <a:ln w="3175">
              <a:solidFill>
                <a:srgbClr val="C0C0C0"/>
              </a:solidFill>
              <a:prstDash val="solid"/>
            </a:ln>
          </c:spPr>
        </c:majorGridlines>
        <c:title>
          <c:tx>
            <c:rich>
              <a:bodyPr/>
              <a:lstStyle/>
              <a:p>
                <a:pPr>
                  <a:defRPr sz="800" b="1" i="0" u="none" strike="noStrike" baseline="0">
                    <a:solidFill>
                      <a:srgbClr val="800000"/>
                    </a:solidFill>
                    <a:latin typeface="Arial"/>
                    <a:ea typeface="Arial"/>
                    <a:cs typeface="Arial"/>
                  </a:defRPr>
                </a:pPr>
                <a:r>
                  <a:rPr lang="en-AU"/>
                  <a:t>Service</a:t>
                </a:r>
              </a:p>
            </c:rich>
          </c:tx>
          <c:layout>
            <c:manualLayout>
              <c:xMode val="edge"/>
              <c:yMode val="edge"/>
              <c:x val="0.48883981850740543"/>
              <c:y val="0.85514213808351458"/>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2700000" vert="horz"/>
          <a:lstStyle/>
          <a:p>
            <a:pPr>
              <a:defRPr sz="800" b="1" i="0" u="none" strike="noStrike" baseline="0">
                <a:solidFill>
                  <a:srgbClr val="000080"/>
                </a:solidFill>
                <a:latin typeface="Arial"/>
                <a:ea typeface="Arial"/>
                <a:cs typeface="Arial"/>
              </a:defRPr>
            </a:pPr>
            <a:endParaRPr lang="en-US"/>
          </a:p>
        </c:txPr>
        <c:crossAx val="1"/>
        <c:crosses val="autoZero"/>
        <c:auto val="1"/>
        <c:lblAlgn val="ctr"/>
        <c:lblOffset val="100"/>
        <c:tickLblSkip val="2"/>
        <c:tickMarkSkip val="1"/>
        <c:noMultiLvlLbl val="0"/>
      </c:catAx>
      <c:valAx>
        <c:axId val="1"/>
        <c:scaling>
          <c:orientation val="minMax"/>
          <c:max val="0.5"/>
          <c:min val="0"/>
        </c:scaling>
        <c:delete val="0"/>
        <c:axPos val="l"/>
        <c:majorGridlines>
          <c:spPr>
            <a:ln w="12700">
              <a:solidFill>
                <a:srgbClr val="C0C0C0"/>
              </a:solidFill>
              <a:prstDash val="solid"/>
            </a:ln>
          </c:spPr>
        </c:majorGridlines>
        <c:numFmt formatCode="#,##0.00" sourceLinked="0"/>
        <c:majorTickMark val="out"/>
        <c:minorTickMark val="none"/>
        <c:tickLblPos val="nextTo"/>
        <c:spPr>
          <a:ln w="3175">
            <a:solidFill>
              <a:srgbClr val="000080"/>
            </a:solidFill>
            <a:prstDash val="solid"/>
          </a:ln>
        </c:spPr>
        <c:txPr>
          <a:bodyPr rot="0" vert="horz"/>
          <a:lstStyle/>
          <a:p>
            <a:pPr>
              <a:defRPr sz="800" b="1" i="0" u="none" strike="noStrike" baseline="0">
                <a:solidFill>
                  <a:srgbClr val="000080"/>
                </a:solidFill>
                <a:latin typeface="Arial"/>
                <a:ea typeface="Arial"/>
                <a:cs typeface="Arial"/>
              </a:defRPr>
            </a:pPr>
            <a:endParaRPr lang="en-US"/>
          </a:p>
        </c:txPr>
        <c:crossAx val="406301888"/>
        <c:crosses val="autoZero"/>
        <c:crossBetween val="between"/>
        <c:majorUnit val="0.05"/>
        <c:minorUnit val="2.5000000000000001E-2"/>
      </c:valAx>
      <c:spPr>
        <a:pattFill prst="pct20">
          <a:fgClr>
            <a:srgbClr xmlns:mc="http://schemas.openxmlformats.org/markup-compatibility/2006" xmlns:a14="http://schemas.microsoft.com/office/drawing/2010/main" val="69FFFF" mc:Ignorable="a14" a14:legacySpreadsheetColorIndex="41"/>
          </a:fgClr>
          <a:bgClr>
            <a:srgbClr xmlns:mc="http://schemas.openxmlformats.org/markup-compatibility/2006" xmlns:a14="http://schemas.microsoft.com/office/drawing/2010/main" val="FFFFFF" mc:Ignorable="a14" a14:legacySpreadsheetColorIndex="9"/>
          </a:bgClr>
        </a:pattFill>
        <a:ln w="12700">
          <a:solidFill>
            <a:srgbClr val="808080"/>
          </a:solidFill>
          <a:prstDash val="solid"/>
        </a:ln>
      </c:spPr>
    </c:plotArea>
    <c:legend>
      <c:legendPos val="r"/>
      <c:layout>
        <c:manualLayout>
          <c:xMode val="edge"/>
          <c:yMode val="edge"/>
          <c:x val="0.61830424532671824"/>
          <c:y val="0.83177759879161528"/>
          <c:w val="0.3727682634280215"/>
          <c:h val="0.15420595932653541"/>
        </c:manualLayout>
      </c:layout>
      <c:overlay val="0"/>
      <c:spPr>
        <a:solidFill>
          <a:srgbClr val="FFFFFF"/>
        </a:solidFill>
        <a:ln w="25400">
          <a:noFill/>
        </a:ln>
      </c:spPr>
      <c:txPr>
        <a:bodyPr/>
        <a:lstStyle/>
        <a:p>
          <a:pPr>
            <a:defRPr sz="735" b="1" i="0" u="none" strike="noStrike" baseline="0">
              <a:solidFill>
                <a:srgbClr val="0000FF"/>
              </a:solidFill>
              <a:latin typeface="Arial"/>
              <a:ea typeface="Arial"/>
              <a:cs typeface="Arial"/>
            </a:defRPr>
          </a:pPr>
          <a:endParaRPr lang="en-US"/>
        </a:p>
      </c:txPr>
    </c:legend>
    <c:plotVisOnly val="1"/>
    <c:dispBlanksAs val="gap"/>
    <c:showDLblsOverMax val="0"/>
  </c:chart>
  <c:spPr>
    <a:gradFill rotWithShape="0">
      <a:gsLst>
        <a:gs pos="0">
          <a:srgbClr xmlns:mc="http://schemas.openxmlformats.org/markup-compatibility/2006" xmlns:a14="http://schemas.microsoft.com/office/drawing/2010/main" val="FFFF00" mc:Ignorable="a14" a14:legacySpreadsheetColorIndex="13"/>
        </a:gs>
        <a:gs pos="100000">
          <a:srgbClr xmlns:mc="http://schemas.openxmlformats.org/markup-compatibility/2006" xmlns:a14="http://schemas.microsoft.com/office/drawing/2010/main" val="CCFFCC" mc:Ignorable="a14" a14:legacySpreadsheetColorIndex="42"/>
        </a:gs>
      </a:gsLst>
      <a:path path="rect">
        <a:fillToRect t="100000" r="100000"/>
      </a:path>
    </a:gradFill>
    <a:ln w="6350">
      <a:noFill/>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285714285714285"/>
          <c:y val="7.6923076923076927E-2"/>
          <c:w val="0.71848739495798319"/>
          <c:h val="0.57466063348416285"/>
        </c:manualLayout>
      </c:layout>
      <c:lineChart>
        <c:grouping val="standard"/>
        <c:varyColors val="0"/>
        <c:ser>
          <c:idx val="1"/>
          <c:order val="0"/>
          <c:tx>
            <c:strRef>
              <c:f>Calculation!$C$134</c:f>
              <c:strCache>
                <c:ptCount val="1"/>
                <c:pt idx="0">
                  <c:v>Average service</c:v>
                </c:pt>
              </c:strCache>
            </c:strRef>
          </c:tx>
          <c:spPr>
            <a:ln w="25400">
              <a:solidFill>
                <a:srgbClr val="FF0000"/>
              </a:solidFill>
              <a:prstDash val="solid"/>
            </a:ln>
          </c:spPr>
          <c:marker>
            <c:symbol val="none"/>
          </c:marker>
          <c:cat>
            <c:numRef>
              <c:f>Calculation!$A$135:$A$155</c:f>
              <c:numCache>
                <c:formatCode>###\ ###\ ##0.00;\(###\ ###\ ##0.00\);"-"</c:formatCode>
                <c:ptCount val="21"/>
                <c:pt idx="0">
                  <c:v>125.5</c:v>
                </c:pt>
                <c:pt idx="1">
                  <c:v>125.5</c:v>
                </c:pt>
                <c:pt idx="2">
                  <c:v>125.5</c:v>
                </c:pt>
                <c:pt idx="3">
                  <c:v>125.5</c:v>
                </c:pt>
                <c:pt idx="4">
                  <c:v>125.5</c:v>
                </c:pt>
                <c:pt idx="5">
                  <c:v>125.5</c:v>
                </c:pt>
                <c:pt idx="6">
                  <c:v>125.5</c:v>
                </c:pt>
                <c:pt idx="7">
                  <c:v>125.5</c:v>
                </c:pt>
                <c:pt idx="8">
                  <c:v>125.5</c:v>
                </c:pt>
                <c:pt idx="9">
                  <c:v>125.5</c:v>
                </c:pt>
                <c:pt idx="10">
                  <c:v>125.5</c:v>
                </c:pt>
                <c:pt idx="11">
                  <c:v>125.5</c:v>
                </c:pt>
                <c:pt idx="12">
                  <c:v>125.5</c:v>
                </c:pt>
                <c:pt idx="13">
                  <c:v>125.5</c:v>
                </c:pt>
                <c:pt idx="14">
                  <c:v>125.5</c:v>
                </c:pt>
                <c:pt idx="15">
                  <c:v>125.5</c:v>
                </c:pt>
                <c:pt idx="16">
                  <c:v>125.5</c:v>
                </c:pt>
                <c:pt idx="17">
                  <c:v>125.5</c:v>
                </c:pt>
                <c:pt idx="18">
                  <c:v>125.5</c:v>
                </c:pt>
                <c:pt idx="19">
                  <c:v>125.5</c:v>
                </c:pt>
                <c:pt idx="20">
                  <c:v>125.5</c:v>
                </c:pt>
              </c:numCache>
            </c:numRef>
          </c:cat>
          <c:val>
            <c:numRef>
              <c:f>Calculation!$C$135:$C$155</c:f>
              <c:numCache>
                <c:formatCode>#,##0.0</c:formatCode>
                <c:ptCount val="21"/>
                <c:pt idx="0">
                  <c:v>125.5</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00-3734-4EE1-B923-1DA339FE5652}"/>
            </c:ext>
          </c:extLst>
        </c:ser>
        <c:dLbls>
          <c:showLegendKey val="0"/>
          <c:showVal val="0"/>
          <c:showCatName val="0"/>
          <c:showSerName val="0"/>
          <c:showPercent val="0"/>
          <c:showBubbleSize val="0"/>
        </c:dLbls>
        <c:marker val="1"/>
        <c:smooth val="0"/>
        <c:axId val="406298936"/>
        <c:axId val="1"/>
      </c:lineChart>
      <c:lineChart>
        <c:grouping val="standard"/>
        <c:varyColors val="0"/>
        <c:ser>
          <c:idx val="2"/>
          <c:order val="1"/>
          <c:tx>
            <c:strRef>
              <c:f>Calculation!$D$134</c:f>
              <c:strCache>
                <c:ptCount val="1"/>
                <c:pt idx="0">
                  <c:v>Average accrued (RHS)</c:v>
                </c:pt>
              </c:strCache>
            </c:strRef>
          </c:tx>
          <c:spPr>
            <a:ln w="12700">
              <a:solidFill>
                <a:srgbClr val="0000FF"/>
              </a:solidFill>
              <a:prstDash val="lgDash"/>
            </a:ln>
          </c:spPr>
          <c:marker>
            <c:symbol val="none"/>
          </c:marker>
          <c:val>
            <c:numRef>
              <c:f>Calculation!$D$135:$D$155</c:f>
              <c:numCache>
                <c:formatCode>###\ ###\ ##0.00;\(###\ ###\ ##0.00\);"-"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01-3734-4EE1-B923-1DA339FE5652}"/>
            </c:ext>
          </c:extLst>
        </c:ser>
        <c:dLbls>
          <c:showLegendKey val="0"/>
          <c:showVal val="0"/>
          <c:showCatName val="0"/>
          <c:showSerName val="0"/>
          <c:showPercent val="0"/>
          <c:showBubbleSize val="0"/>
        </c:dLbls>
        <c:marker val="1"/>
        <c:smooth val="0"/>
        <c:axId val="3"/>
        <c:axId val="4"/>
      </c:lineChart>
      <c:catAx>
        <c:axId val="406298936"/>
        <c:scaling>
          <c:orientation val="minMax"/>
        </c:scaling>
        <c:delete val="0"/>
        <c:axPos val="b"/>
        <c:majorGridlines>
          <c:spPr>
            <a:ln w="3175">
              <a:solidFill>
                <a:srgbClr val="C0C0C0"/>
              </a:solidFill>
              <a:prstDash val="solid"/>
            </a:ln>
          </c:spPr>
        </c:majorGridlines>
        <c:title>
          <c:tx>
            <c:rich>
              <a:bodyPr/>
              <a:lstStyle/>
              <a:p>
                <a:pPr>
                  <a:defRPr sz="800" b="1" i="0" u="none" strike="noStrike" baseline="0">
                    <a:solidFill>
                      <a:srgbClr val="800000"/>
                    </a:solidFill>
                    <a:latin typeface="Arial"/>
                    <a:ea typeface="Arial"/>
                    <a:cs typeface="Arial"/>
                  </a:defRPr>
                </a:pPr>
                <a:r>
                  <a:rPr lang="en-AU"/>
                  <a:t>Age</a:t>
                </a:r>
              </a:p>
            </c:rich>
          </c:tx>
          <c:layout>
            <c:manualLayout>
              <c:xMode val="edge"/>
              <c:yMode val="edge"/>
              <c:x val="0.47478991596638653"/>
              <c:y val="0.85972850678733037"/>
            </c:manualLayout>
          </c:layout>
          <c:overlay val="0"/>
          <c:spPr>
            <a:noFill/>
            <a:ln w="25400">
              <a:noFill/>
            </a:ln>
          </c:spPr>
        </c:title>
        <c:numFmt formatCode="###\ ###\ ##0.00;\(###\ ###\ ##0.00\);&quot;-&quot;" sourceLinked="1"/>
        <c:majorTickMark val="out"/>
        <c:minorTickMark val="none"/>
        <c:tickLblPos val="nextTo"/>
        <c:spPr>
          <a:ln w="3175">
            <a:solidFill>
              <a:srgbClr val="000000"/>
            </a:solidFill>
            <a:prstDash val="solid"/>
          </a:ln>
        </c:spPr>
        <c:txPr>
          <a:bodyPr rot="-2700000" vert="horz"/>
          <a:lstStyle/>
          <a:p>
            <a:pPr>
              <a:defRPr sz="800" b="1" i="0" u="none" strike="noStrike" baseline="0">
                <a:solidFill>
                  <a:srgbClr val="000080"/>
                </a:solidFill>
                <a:latin typeface="Arial"/>
                <a:ea typeface="Arial"/>
                <a:cs typeface="Arial"/>
              </a:defRPr>
            </a:pPr>
            <a:endParaRPr lang="en-US"/>
          </a:p>
        </c:txPr>
        <c:crossAx val="1"/>
        <c:crosses val="autoZero"/>
        <c:auto val="1"/>
        <c:lblAlgn val="ctr"/>
        <c:lblOffset val="100"/>
        <c:tickLblSkip val="2"/>
        <c:tickMarkSkip val="1"/>
        <c:noMultiLvlLbl val="0"/>
      </c:catAx>
      <c:valAx>
        <c:axId val="1"/>
        <c:scaling>
          <c:orientation val="minMax"/>
          <c:min val="0.05"/>
        </c:scaling>
        <c:delete val="0"/>
        <c:axPos val="l"/>
        <c:majorGridlines>
          <c:spPr>
            <a:ln w="12700">
              <a:solidFill>
                <a:srgbClr val="C0C0C0"/>
              </a:solidFill>
              <a:prstDash val="solid"/>
            </a:ln>
          </c:spPr>
        </c:majorGridlines>
        <c:numFmt formatCode="#,##0" sourceLinked="0"/>
        <c:majorTickMark val="out"/>
        <c:minorTickMark val="none"/>
        <c:tickLblPos val="nextTo"/>
        <c:spPr>
          <a:ln w="3175">
            <a:solidFill>
              <a:srgbClr val="000080"/>
            </a:solidFill>
            <a:prstDash val="solid"/>
          </a:ln>
        </c:spPr>
        <c:txPr>
          <a:bodyPr rot="0" vert="horz"/>
          <a:lstStyle/>
          <a:p>
            <a:pPr>
              <a:defRPr sz="800" b="1" i="0" u="none" strike="noStrike" baseline="0">
                <a:solidFill>
                  <a:srgbClr val="000080"/>
                </a:solidFill>
                <a:latin typeface="Arial"/>
                <a:ea typeface="Arial"/>
                <a:cs typeface="Arial"/>
              </a:defRPr>
            </a:pPr>
            <a:endParaRPr lang="en-US"/>
          </a:p>
        </c:txPr>
        <c:crossAx val="406298936"/>
        <c:crosses val="autoZero"/>
        <c:crossBetween val="between"/>
      </c:valAx>
      <c:catAx>
        <c:axId val="3"/>
        <c:scaling>
          <c:orientation val="minMax"/>
        </c:scaling>
        <c:delete val="1"/>
        <c:axPos val="b"/>
        <c:majorTickMark val="out"/>
        <c:minorTickMark val="none"/>
        <c:tickLblPos val="nextTo"/>
        <c:crossAx val="4"/>
        <c:crosses val="autoZero"/>
        <c:auto val="1"/>
        <c:lblAlgn val="ctr"/>
        <c:lblOffset val="100"/>
        <c:noMultiLvlLbl val="0"/>
      </c:catAx>
      <c:valAx>
        <c:axId val="4"/>
        <c:scaling>
          <c:orientation val="minMax"/>
        </c:scaling>
        <c:delete val="0"/>
        <c:axPos val="r"/>
        <c:numFmt formatCode="#,##0.00" sourceLinked="0"/>
        <c:majorTickMark val="cross"/>
        <c:minorTickMark val="none"/>
        <c:tickLblPos val="nextTo"/>
        <c:spPr>
          <a:ln w="3175">
            <a:solidFill>
              <a:srgbClr val="000000"/>
            </a:solidFill>
            <a:prstDash val="solid"/>
          </a:ln>
        </c:spPr>
        <c:txPr>
          <a:bodyPr rot="0" vert="horz"/>
          <a:lstStyle/>
          <a:p>
            <a:pPr>
              <a:defRPr sz="575" b="1" i="0" u="none" strike="noStrike" baseline="0">
                <a:solidFill>
                  <a:srgbClr val="000080"/>
                </a:solidFill>
                <a:latin typeface="Arial"/>
                <a:ea typeface="Arial"/>
                <a:cs typeface="Arial"/>
              </a:defRPr>
            </a:pPr>
            <a:endParaRPr lang="en-US"/>
          </a:p>
        </c:txPr>
        <c:crossAx val="3"/>
        <c:crosses val="max"/>
        <c:crossBetween val="between"/>
      </c:valAx>
      <c:spPr>
        <a:pattFill prst="pct20">
          <a:fgClr>
            <a:srgbClr xmlns:mc="http://schemas.openxmlformats.org/markup-compatibility/2006" xmlns:a14="http://schemas.microsoft.com/office/drawing/2010/main" val="69FFFF" mc:Ignorable="a14" a14:legacySpreadsheetColorIndex="41"/>
          </a:fgClr>
          <a:bgClr>
            <a:srgbClr xmlns:mc="http://schemas.openxmlformats.org/markup-compatibility/2006" xmlns:a14="http://schemas.microsoft.com/office/drawing/2010/main" val="FFFFFF" mc:Ignorable="a14" a14:legacySpreadsheetColorIndex="9"/>
          </a:bgClr>
        </a:pattFill>
        <a:ln w="12700">
          <a:solidFill>
            <a:srgbClr val="808080"/>
          </a:solidFill>
          <a:prstDash val="solid"/>
        </a:ln>
      </c:spPr>
    </c:plotArea>
    <c:legend>
      <c:legendPos val="r"/>
      <c:layout>
        <c:manualLayout>
          <c:xMode val="edge"/>
          <c:yMode val="edge"/>
          <c:x val="0.53991596638655459"/>
          <c:y val="0.83710407239819007"/>
          <c:w val="0.43697478991596639"/>
          <c:h val="0.14932126696832579"/>
        </c:manualLayout>
      </c:layout>
      <c:overlay val="0"/>
      <c:spPr>
        <a:solidFill>
          <a:srgbClr val="FFFFFF"/>
        </a:solidFill>
        <a:ln w="25400">
          <a:noFill/>
        </a:ln>
      </c:spPr>
      <c:txPr>
        <a:bodyPr/>
        <a:lstStyle/>
        <a:p>
          <a:pPr>
            <a:defRPr sz="735" b="1" i="0" u="none" strike="noStrike" baseline="0">
              <a:solidFill>
                <a:srgbClr val="0000FF"/>
              </a:solidFill>
              <a:latin typeface="Arial"/>
              <a:ea typeface="Arial"/>
              <a:cs typeface="Arial"/>
            </a:defRPr>
          </a:pPr>
          <a:endParaRPr lang="en-US"/>
        </a:p>
      </c:txPr>
    </c:legend>
    <c:plotVisOnly val="1"/>
    <c:dispBlanksAs val="gap"/>
    <c:showDLblsOverMax val="0"/>
  </c:chart>
  <c:spPr>
    <a:gradFill rotWithShape="0">
      <a:gsLst>
        <a:gs pos="0">
          <a:srgbClr xmlns:mc="http://schemas.openxmlformats.org/markup-compatibility/2006" xmlns:a14="http://schemas.microsoft.com/office/drawing/2010/main" val="FFFF00" mc:Ignorable="a14" a14:legacySpreadsheetColorIndex="13"/>
        </a:gs>
        <a:gs pos="100000">
          <a:srgbClr xmlns:mc="http://schemas.openxmlformats.org/markup-compatibility/2006" xmlns:a14="http://schemas.microsoft.com/office/drawing/2010/main" val="CCFFCC" mc:Ignorable="a14" a14:legacySpreadsheetColorIndex="42"/>
        </a:gs>
      </a:gsLst>
      <a:path path="rect">
        <a:fillToRect t="100000" r="100000"/>
      </a:path>
    </a:gradFill>
    <a:ln w="6350">
      <a:noFill/>
    </a:ln>
  </c:spPr>
  <c:txPr>
    <a:bodyPr/>
    <a:lstStyle/>
    <a:p>
      <a:pPr>
        <a:defRPr sz="8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06083024898169"/>
          <c:y val="6.4935339452023524E-2"/>
          <c:w val="0.82684157459410212"/>
          <c:h val="0.58874707769834655"/>
        </c:manualLayout>
      </c:layout>
      <c:scatterChart>
        <c:scatterStyle val="lineMarker"/>
        <c:varyColors val="0"/>
        <c:ser>
          <c:idx val="1"/>
          <c:order val="0"/>
          <c:tx>
            <c:strRef>
              <c:f>Calculation!$AL$115</c:f>
              <c:strCache>
                <c:ptCount val="1"/>
                <c:pt idx="0">
                  <c:v>Service</c:v>
                </c:pt>
              </c:strCache>
            </c:strRef>
          </c:tx>
          <c:spPr>
            <a:ln w="19050">
              <a:noFill/>
            </a:ln>
          </c:spPr>
          <c:marker>
            <c:symbol val="diamond"/>
            <c:size val="2"/>
            <c:spPr>
              <a:solidFill>
                <a:srgbClr val="FF00FF"/>
              </a:solidFill>
              <a:ln>
                <a:solidFill>
                  <a:srgbClr val="FF00FF"/>
                </a:solidFill>
                <a:prstDash val="solid"/>
              </a:ln>
            </c:spPr>
          </c:marker>
          <c:xVal>
            <c:numRef>
              <c:f>Calculation!$AJ$116:$AJ$119</c:f>
              <c:numCache>
                <c:formatCode>#,##0</c:formatCode>
                <c:ptCount val="4"/>
                <c:pt idx="0">
                  <c:v>125.5</c:v>
                </c:pt>
                <c:pt idx="1">
                  <c:v>125.5</c:v>
                </c:pt>
                <c:pt idx="2">
                  <c:v>125.5</c:v>
                </c:pt>
                <c:pt idx="3">
                  <c:v>125.5</c:v>
                </c:pt>
              </c:numCache>
            </c:numRef>
          </c:xVal>
          <c:yVal>
            <c:numRef>
              <c:f>Calculation!$AL$116:$AL$119</c:f>
              <c:numCache>
                <c:formatCode>###\ ###\ ##0.00;\(###\ ###\ ##0.00\);"-"</c:formatCode>
                <c:ptCount val="4"/>
                <c:pt idx="0">
                  <c:v>125.5</c:v>
                </c:pt>
                <c:pt idx="1">
                  <c:v>125.5</c:v>
                </c:pt>
                <c:pt idx="2">
                  <c:v>125.5</c:v>
                </c:pt>
                <c:pt idx="3">
                  <c:v>125.5</c:v>
                </c:pt>
              </c:numCache>
            </c:numRef>
          </c:yVal>
          <c:smooth val="0"/>
          <c:extLst>
            <c:ext xmlns:c16="http://schemas.microsoft.com/office/drawing/2014/chart" uri="{C3380CC4-5D6E-409C-BE32-E72D297353CC}">
              <c16:uniqueId val="{00000000-A017-40E5-8008-2113A368D491}"/>
            </c:ext>
          </c:extLst>
        </c:ser>
        <c:ser>
          <c:idx val="3"/>
          <c:order val="2"/>
          <c:tx>
            <c:v>Service distribution</c:v>
          </c:tx>
          <c:spPr>
            <a:ln w="25400">
              <a:solidFill>
                <a:srgbClr val="FF0000"/>
              </a:solidFill>
              <a:prstDash val="solid"/>
            </a:ln>
          </c:spPr>
          <c:marker>
            <c:symbol val="none"/>
          </c:marker>
          <c:xVal>
            <c:numRef>
              <c:f>Calculation!$F$135:$F$155</c:f>
              <c:numCache>
                <c:formatCode>0.0%;0.0%;"-"</c:formatCode>
                <c:ptCount val="21"/>
                <c:pt idx="0">
                  <c:v>100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xVal>
          <c:yVal>
            <c:numRef>
              <c:f>Calculation!$E$135:$E$155</c:f>
              <c:numCache>
                <c:formatCode>#,##0</c:formatCode>
                <c:ptCount val="21"/>
                <c:pt idx="0">
                  <c:v>125.5</c:v>
                </c:pt>
                <c:pt idx="1">
                  <c:v>125.5</c:v>
                </c:pt>
                <c:pt idx="2">
                  <c:v>125.5</c:v>
                </c:pt>
                <c:pt idx="3">
                  <c:v>125.5</c:v>
                </c:pt>
                <c:pt idx="4">
                  <c:v>125.5</c:v>
                </c:pt>
                <c:pt idx="5">
                  <c:v>125.5</c:v>
                </c:pt>
                <c:pt idx="6">
                  <c:v>125.5</c:v>
                </c:pt>
                <c:pt idx="7">
                  <c:v>125.5</c:v>
                </c:pt>
                <c:pt idx="8">
                  <c:v>125.5</c:v>
                </c:pt>
                <c:pt idx="9">
                  <c:v>125.5</c:v>
                </c:pt>
                <c:pt idx="10">
                  <c:v>125.5</c:v>
                </c:pt>
                <c:pt idx="11">
                  <c:v>125.5</c:v>
                </c:pt>
                <c:pt idx="12">
                  <c:v>125.5</c:v>
                </c:pt>
                <c:pt idx="13">
                  <c:v>125.5</c:v>
                </c:pt>
                <c:pt idx="14">
                  <c:v>125.5</c:v>
                </c:pt>
                <c:pt idx="15">
                  <c:v>125.5</c:v>
                </c:pt>
                <c:pt idx="16">
                  <c:v>125.5</c:v>
                </c:pt>
                <c:pt idx="17">
                  <c:v>125.5</c:v>
                </c:pt>
                <c:pt idx="18">
                  <c:v>125.5</c:v>
                </c:pt>
                <c:pt idx="19">
                  <c:v>125.5</c:v>
                </c:pt>
                <c:pt idx="20">
                  <c:v>125.5</c:v>
                </c:pt>
              </c:numCache>
            </c:numRef>
          </c:yVal>
          <c:smooth val="1"/>
          <c:extLst>
            <c:ext xmlns:c16="http://schemas.microsoft.com/office/drawing/2014/chart" uri="{C3380CC4-5D6E-409C-BE32-E72D297353CC}">
              <c16:uniqueId val="{00000001-A017-40E5-8008-2113A368D491}"/>
            </c:ext>
          </c:extLst>
        </c:ser>
        <c:dLbls>
          <c:showLegendKey val="0"/>
          <c:showVal val="0"/>
          <c:showCatName val="0"/>
          <c:showSerName val="0"/>
          <c:showPercent val="0"/>
          <c:showBubbleSize val="0"/>
        </c:dLbls>
        <c:axId val="406298608"/>
        <c:axId val="1"/>
      </c:scatterChart>
      <c:scatterChart>
        <c:scatterStyle val="lineMarker"/>
        <c:varyColors val="0"/>
        <c:ser>
          <c:idx val="0"/>
          <c:order val="1"/>
          <c:tx>
            <c:v>Age distribution</c:v>
          </c:tx>
          <c:spPr>
            <a:ln w="25400">
              <a:solidFill>
                <a:srgbClr val="0000FF"/>
              </a:solidFill>
              <a:prstDash val="solid"/>
            </a:ln>
          </c:spPr>
          <c:marker>
            <c:symbol val="none"/>
          </c:marker>
          <c:xVal>
            <c:numRef>
              <c:f>Calculation!$A$135:$A$155</c:f>
              <c:numCache>
                <c:formatCode>###\ ###\ ##0.00;\(###\ ###\ ##0.00\);"-"</c:formatCode>
                <c:ptCount val="21"/>
                <c:pt idx="0">
                  <c:v>125.5</c:v>
                </c:pt>
                <c:pt idx="1">
                  <c:v>125.5</c:v>
                </c:pt>
                <c:pt idx="2">
                  <c:v>125.5</c:v>
                </c:pt>
                <c:pt idx="3">
                  <c:v>125.5</c:v>
                </c:pt>
                <c:pt idx="4">
                  <c:v>125.5</c:v>
                </c:pt>
                <c:pt idx="5">
                  <c:v>125.5</c:v>
                </c:pt>
                <c:pt idx="6">
                  <c:v>125.5</c:v>
                </c:pt>
                <c:pt idx="7">
                  <c:v>125.5</c:v>
                </c:pt>
                <c:pt idx="8">
                  <c:v>125.5</c:v>
                </c:pt>
                <c:pt idx="9">
                  <c:v>125.5</c:v>
                </c:pt>
                <c:pt idx="10">
                  <c:v>125.5</c:v>
                </c:pt>
                <c:pt idx="11">
                  <c:v>125.5</c:v>
                </c:pt>
                <c:pt idx="12">
                  <c:v>125.5</c:v>
                </c:pt>
                <c:pt idx="13">
                  <c:v>125.5</c:v>
                </c:pt>
                <c:pt idx="14">
                  <c:v>125.5</c:v>
                </c:pt>
                <c:pt idx="15">
                  <c:v>125.5</c:v>
                </c:pt>
                <c:pt idx="16">
                  <c:v>125.5</c:v>
                </c:pt>
                <c:pt idx="17">
                  <c:v>125.5</c:v>
                </c:pt>
                <c:pt idx="18">
                  <c:v>125.5</c:v>
                </c:pt>
                <c:pt idx="19">
                  <c:v>125.5</c:v>
                </c:pt>
                <c:pt idx="20">
                  <c:v>125.5</c:v>
                </c:pt>
              </c:numCache>
            </c:numRef>
          </c:xVal>
          <c:yVal>
            <c:numRef>
              <c:f>Calculation!$B$135:$B$155</c:f>
              <c:numCache>
                <c:formatCode>0.0%;0.0%;"-"</c:formatCode>
                <c:ptCount val="21"/>
                <c:pt idx="0">
                  <c:v>1</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yVal>
          <c:smooth val="1"/>
          <c:extLst>
            <c:ext xmlns:c16="http://schemas.microsoft.com/office/drawing/2014/chart" uri="{C3380CC4-5D6E-409C-BE32-E72D297353CC}">
              <c16:uniqueId val="{00000002-A017-40E5-8008-2113A368D491}"/>
            </c:ext>
          </c:extLst>
        </c:ser>
        <c:dLbls>
          <c:showLegendKey val="0"/>
          <c:showVal val="0"/>
          <c:showCatName val="0"/>
          <c:showSerName val="0"/>
          <c:showPercent val="0"/>
          <c:showBubbleSize val="0"/>
        </c:dLbls>
        <c:axId val="3"/>
        <c:axId val="4"/>
      </c:scatterChart>
      <c:valAx>
        <c:axId val="406298608"/>
        <c:scaling>
          <c:orientation val="minMax"/>
          <c:max val="70"/>
          <c:min val="0"/>
        </c:scaling>
        <c:delete val="0"/>
        <c:axPos val="b"/>
        <c:majorGridlines>
          <c:spPr>
            <a:ln w="3175">
              <a:solidFill>
                <a:srgbClr val="C0C0C0"/>
              </a:solidFill>
              <a:prstDash val="solid"/>
            </a:ln>
          </c:spPr>
        </c:majorGridlines>
        <c:title>
          <c:tx>
            <c:rich>
              <a:bodyPr/>
              <a:lstStyle/>
              <a:p>
                <a:pPr>
                  <a:defRPr sz="800" b="1" i="0" u="none" strike="noStrike" baseline="0">
                    <a:solidFill>
                      <a:srgbClr val="800000"/>
                    </a:solidFill>
                    <a:latin typeface="Arial"/>
                    <a:ea typeface="Arial"/>
                    <a:cs typeface="Arial"/>
                  </a:defRPr>
                </a:pPr>
                <a:r>
                  <a:rPr lang="en-AU"/>
                  <a:t>Age</a:t>
                </a:r>
              </a:p>
            </c:rich>
          </c:tx>
          <c:layout>
            <c:manualLayout>
              <c:xMode val="edge"/>
              <c:yMode val="edge"/>
              <c:x val="0.49134302992895601"/>
              <c:y val="0.77056602816401243"/>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800" b="1" i="0" u="none" strike="noStrike" baseline="0">
                <a:solidFill>
                  <a:srgbClr val="000080"/>
                </a:solidFill>
                <a:latin typeface="Arial"/>
                <a:ea typeface="Arial"/>
                <a:cs typeface="Arial"/>
              </a:defRPr>
            </a:pPr>
            <a:endParaRPr lang="en-US"/>
          </a:p>
        </c:txPr>
        <c:crossAx val="1"/>
        <c:crosses val="autoZero"/>
        <c:crossBetween val="midCat"/>
      </c:valAx>
      <c:valAx>
        <c:axId val="1"/>
        <c:scaling>
          <c:orientation val="minMax"/>
          <c:max val="40"/>
          <c:min val="0"/>
        </c:scaling>
        <c:delete val="0"/>
        <c:axPos val="l"/>
        <c:majorGridlines>
          <c:spPr>
            <a:ln w="12700">
              <a:solidFill>
                <a:srgbClr val="C0C0C0"/>
              </a:solidFill>
              <a:prstDash val="solid"/>
            </a:ln>
          </c:spPr>
        </c:majorGridlines>
        <c:title>
          <c:tx>
            <c:rich>
              <a:bodyPr/>
              <a:lstStyle/>
              <a:p>
                <a:pPr>
                  <a:defRPr sz="800" b="1" i="0" u="none" strike="noStrike" baseline="0">
                    <a:solidFill>
                      <a:srgbClr val="800000"/>
                    </a:solidFill>
                    <a:latin typeface="Arial"/>
                    <a:ea typeface="Arial"/>
                    <a:cs typeface="Arial"/>
                  </a:defRPr>
                </a:pPr>
                <a:r>
                  <a:rPr lang="en-AU"/>
                  <a:t>Service</a:t>
                </a:r>
              </a:p>
            </c:rich>
          </c:tx>
          <c:layout>
            <c:manualLayout>
              <c:xMode val="edge"/>
              <c:yMode val="edge"/>
              <c:x val="1.0822533698875682E-2"/>
              <c:y val="0.264070380438229"/>
            </c:manualLayout>
          </c:layout>
          <c:overlay val="0"/>
          <c:spPr>
            <a:noFill/>
            <a:ln w="25400">
              <a:noFill/>
            </a:ln>
          </c:spPr>
        </c:title>
        <c:numFmt formatCode="0" sourceLinked="0"/>
        <c:majorTickMark val="out"/>
        <c:minorTickMark val="none"/>
        <c:tickLblPos val="nextTo"/>
        <c:spPr>
          <a:ln w="3175">
            <a:solidFill>
              <a:srgbClr val="000080"/>
            </a:solidFill>
            <a:prstDash val="solid"/>
          </a:ln>
        </c:spPr>
        <c:txPr>
          <a:bodyPr rot="0" vert="horz"/>
          <a:lstStyle/>
          <a:p>
            <a:pPr>
              <a:defRPr sz="800" b="1" i="0" u="none" strike="noStrike" baseline="0">
                <a:solidFill>
                  <a:srgbClr val="000080"/>
                </a:solidFill>
                <a:latin typeface="Arial"/>
                <a:ea typeface="Arial"/>
                <a:cs typeface="Arial"/>
              </a:defRPr>
            </a:pPr>
            <a:endParaRPr lang="en-US"/>
          </a:p>
        </c:txPr>
        <c:crossAx val="406298608"/>
        <c:crosses val="autoZero"/>
        <c:crossBetween val="midCat"/>
      </c:valAx>
      <c:valAx>
        <c:axId val="3"/>
        <c:scaling>
          <c:orientation val="minMax"/>
        </c:scaling>
        <c:delete val="1"/>
        <c:axPos val="b"/>
        <c:numFmt formatCode="###\ ###\ ##0.00;\(###\ ###\ ##0.00\);&quot;-&quot;" sourceLinked="1"/>
        <c:majorTickMark val="out"/>
        <c:minorTickMark val="none"/>
        <c:tickLblPos val="nextTo"/>
        <c:crossAx val="4"/>
        <c:crosses val="autoZero"/>
        <c:crossBetween val="midCat"/>
      </c:valAx>
      <c:valAx>
        <c:axId val="4"/>
        <c:scaling>
          <c:orientation val="minMax"/>
        </c:scaling>
        <c:delete val="0"/>
        <c:axPos val="r"/>
        <c:numFmt formatCode="0.0%;0.0%;&quot;-&quot;" sourceLinked="1"/>
        <c:majorTickMark val="none"/>
        <c:minorTickMark val="none"/>
        <c:tickLblPos val="none"/>
        <c:spPr>
          <a:ln w="3175">
            <a:solidFill>
              <a:srgbClr val="000000"/>
            </a:solidFill>
            <a:prstDash val="solid"/>
          </a:ln>
        </c:spPr>
        <c:crossAx val="3"/>
        <c:crosses val="max"/>
        <c:crossBetween val="midCat"/>
      </c:valAx>
      <c:spPr>
        <a:pattFill prst="pct20">
          <a:fgClr>
            <a:srgbClr xmlns:mc="http://schemas.openxmlformats.org/markup-compatibility/2006" xmlns:a14="http://schemas.microsoft.com/office/drawing/2010/main" val="69FFFF" mc:Ignorable="a14" a14:legacySpreadsheetColorIndex="41"/>
          </a:fgClr>
          <a:bgClr>
            <a:srgbClr xmlns:mc="http://schemas.openxmlformats.org/markup-compatibility/2006" xmlns:a14="http://schemas.microsoft.com/office/drawing/2010/main" val="FFFFFF" mc:Ignorable="a14" a14:legacySpreadsheetColorIndex="9"/>
          </a:bgClr>
        </a:pattFill>
        <a:ln w="12700">
          <a:solidFill>
            <a:srgbClr val="808080"/>
          </a:solidFill>
          <a:prstDash val="solid"/>
        </a:ln>
      </c:spPr>
    </c:plotArea>
    <c:legend>
      <c:legendPos val="b"/>
      <c:layout>
        <c:manualLayout>
          <c:xMode val="edge"/>
          <c:yMode val="edge"/>
          <c:x val="0.11471885720808224"/>
          <c:y val="0.89177866180778975"/>
          <c:w val="0.76190637240084802"/>
          <c:h val="9.5238497862967827E-2"/>
        </c:manualLayout>
      </c:layout>
      <c:overlay val="0"/>
      <c:spPr>
        <a:solidFill>
          <a:srgbClr val="FFFFFF"/>
        </a:solidFill>
        <a:ln w="25400">
          <a:noFill/>
        </a:ln>
      </c:spPr>
      <c:txPr>
        <a:bodyPr/>
        <a:lstStyle/>
        <a:p>
          <a:pPr>
            <a:defRPr sz="895" b="0" i="0" u="none" strike="noStrike" baseline="0">
              <a:solidFill>
                <a:srgbClr val="000000"/>
              </a:solidFill>
              <a:latin typeface="Arial"/>
              <a:ea typeface="Arial"/>
              <a:cs typeface="Arial"/>
            </a:defRPr>
          </a:pPr>
          <a:endParaRPr lang="en-US"/>
        </a:p>
      </c:txPr>
    </c:legend>
    <c:plotVisOnly val="1"/>
    <c:dispBlanksAs val="gap"/>
    <c:showDLblsOverMax val="0"/>
  </c:chart>
  <c:spPr>
    <a:gradFill rotWithShape="0">
      <a:gsLst>
        <a:gs pos="0">
          <a:srgbClr xmlns:mc="http://schemas.openxmlformats.org/markup-compatibility/2006" xmlns:a14="http://schemas.microsoft.com/office/drawing/2010/main" val="FFFF00" mc:Ignorable="a14" a14:legacySpreadsheetColorIndex="13"/>
        </a:gs>
        <a:gs pos="100000">
          <a:srgbClr xmlns:mc="http://schemas.openxmlformats.org/markup-compatibility/2006" xmlns:a14="http://schemas.microsoft.com/office/drawing/2010/main" val="CCFFCC" mc:Ignorable="a14" a14:legacySpreadsheetColorIndex="42"/>
        </a:gs>
      </a:gsLst>
      <a:path path="rect">
        <a:fillToRect t="100000" r="100000"/>
      </a:path>
    </a:gradFill>
    <a:ln w="6350">
      <a:noFill/>
    </a:ln>
  </c:spPr>
  <c:txPr>
    <a:bodyPr/>
    <a:lstStyle/>
    <a:p>
      <a:pPr>
        <a:defRPr sz="9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26971690772355"/>
          <c:y val="6.4655308491270908E-2"/>
          <c:w val="0.82648586099337584"/>
          <c:h val="0.71982910120281607"/>
        </c:manualLayout>
      </c:layout>
      <c:scatterChart>
        <c:scatterStyle val="lineMarker"/>
        <c:varyColors val="0"/>
        <c:ser>
          <c:idx val="1"/>
          <c:order val="0"/>
          <c:tx>
            <c:strRef>
              <c:f>Calculation!$L$115</c:f>
              <c:strCache>
                <c:ptCount val="1"/>
                <c:pt idx="0">
                  <c:v>Salary (Full time) LSL</c:v>
                </c:pt>
              </c:strCache>
            </c:strRef>
          </c:tx>
          <c:spPr>
            <a:ln w="19050">
              <a:noFill/>
            </a:ln>
          </c:spPr>
          <c:marker>
            <c:symbol val="diamond"/>
            <c:size val="2"/>
            <c:spPr>
              <a:solidFill>
                <a:srgbClr val="FF00FF"/>
              </a:solidFill>
              <a:ln>
                <a:solidFill>
                  <a:srgbClr val="FF00FF"/>
                </a:solidFill>
                <a:prstDash val="solid"/>
              </a:ln>
            </c:spPr>
          </c:marker>
          <c:xVal>
            <c:numRef>
              <c:f>Calculation!$AJ$116:$AJ$119</c:f>
              <c:numCache>
                <c:formatCode>#,##0</c:formatCode>
                <c:ptCount val="4"/>
                <c:pt idx="0">
                  <c:v>125.5</c:v>
                </c:pt>
                <c:pt idx="1">
                  <c:v>125.5</c:v>
                </c:pt>
                <c:pt idx="2">
                  <c:v>125.5</c:v>
                </c:pt>
                <c:pt idx="3">
                  <c:v>125.5</c:v>
                </c:pt>
              </c:numCache>
            </c:numRef>
          </c:xVal>
          <c:yVal>
            <c:numRef>
              <c:f>Calculation!$L$116:$L$119</c:f>
              <c:numCache>
                <c:formatCode>###\ ###\ ##0;\(###\ ###\ ##0\);"-"</c:formatCode>
                <c:ptCount val="4"/>
              </c:numCache>
            </c:numRef>
          </c:yVal>
          <c:smooth val="0"/>
          <c:extLst>
            <c:ext xmlns:c16="http://schemas.microsoft.com/office/drawing/2014/chart" uri="{C3380CC4-5D6E-409C-BE32-E72D297353CC}">
              <c16:uniqueId val="{00000000-0F94-4074-B7E5-C37B311022A8}"/>
            </c:ext>
          </c:extLst>
        </c:ser>
        <c:dLbls>
          <c:showLegendKey val="0"/>
          <c:showVal val="0"/>
          <c:showCatName val="0"/>
          <c:showSerName val="0"/>
          <c:showPercent val="0"/>
          <c:showBubbleSize val="0"/>
        </c:dLbls>
        <c:axId val="406579864"/>
        <c:axId val="1"/>
      </c:scatterChart>
      <c:valAx>
        <c:axId val="406579864"/>
        <c:scaling>
          <c:orientation val="minMax"/>
          <c:max val="70"/>
          <c:min val="10"/>
        </c:scaling>
        <c:delete val="0"/>
        <c:axPos val="b"/>
        <c:majorGridlines>
          <c:spPr>
            <a:ln w="3175">
              <a:solidFill>
                <a:srgbClr val="C0C0C0"/>
              </a:solidFill>
              <a:prstDash val="solid"/>
            </a:ln>
          </c:spPr>
        </c:majorGridlines>
        <c:title>
          <c:tx>
            <c:rich>
              <a:bodyPr/>
              <a:lstStyle/>
              <a:p>
                <a:pPr>
                  <a:defRPr sz="800" b="1" i="0" u="none" strike="noStrike" baseline="0">
                    <a:solidFill>
                      <a:srgbClr val="800000"/>
                    </a:solidFill>
                    <a:latin typeface="Arial"/>
                    <a:ea typeface="Arial"/>
                    <a:cs typeface="Arial"/>
                  </a:defRPr>
                </a:pPr>
                <a:r>
                  <a:rPr lang="en-AU"/>
                  <a:t>Age</a:t>
                </a:r>
              </a:p>
            </c:rich>
          </c:tx>
          <c:layout>
            <c:manualLayout>
              <c:xMode val="edge"/>
              <c:yMode val="edge"/>
              <c:x val="0.52283221593227369"/>
              <c:y val="0.89224325717953845"/>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800" b="1" i="0" u="none" strike="noStrike" baseline="0">
                <a:solidFill>
                  <a:srgbClr val="000080"/>
                </a:solidFill>
                <a:latin typeface="Arial"/>
                <a:ea typeface="Arial"/>
                <a:cs typeface="Arial"/>
              </a:defRPr>
            </a:pPr>
            <a:endParaRPr lang="en-US"/>
          </a:p>
        </c:txPr>
        <c:crossAx val="1"/>
        <c:crosses val="autoZero"/>
        <c:crossBetween val="midCat"/>
      </c:valAx>
      <c:valAx>
        <c:axId val="1"/>
        <c:scaling>
          <c:orientation val="minMax"/>
          <c:max val="200000"/>
          <c:min val="0"/>
        </c:scaling>
        <c:delete val="0"/>
        <c:axPos val="l"/>
        <c:majorGridlines>
          <c:spPr>
            <a:ln w="12700">
              <a:solidFill>
                <a:srgbClr val="C0C0C0"/>
              </a:solidFill>
              <a:prstDash val="solid"/>
            </a:ln>
          </c:spPr>
        </c:majorGridlines>
        <c:title>
          <c:tx>
            <c:rich>
              <a:bodyPr/>
              <a:lstStyle/>
              <a:p>
                <a:pPr>
                  <a:defRPr sz="800" b="1" i="0" u="none" strike="noStrike" baseline="0">
                    <a:solidFill>
                      <a:srgbClr val="800000"/>
                    </a:solidFill>
                    <a:latin typeface="Arial"/>
                    <a:ea typeface="Arial"/>
                    <a:cs typeface="Arial"/>
                  </a:defRPr>
                </a:pPr>
                <a:r>
                  <a:rPr lang="en-AU"/>
                  <a:t>Salary $'000</a:t>
                </a:r>
              </a:p>
            </c:rich>
          </c:tx>
          <c:layout>
            <c:manualLayout>
              <c:xMode val="edge"/>
              <c:yMode val="edge"/>
              <c:x val="1.1415550566206849E-2"/>
              <c:y val="0.28017300346217389"/>
            </c:manualLayout>
          </c:layout>
          <c:overlay val="0"/>
          <c:spPr>
            <a:noFill/>
            <a:ln w="25400">
              <a:noFill/>
            </a:ln>
          </c:spPr>
        </c:title>
        <c:numFmt formatCode="###\ ###\ ##0,;\(###\ ###\ ##0\);&quot;-&quot;" sourceLinked="0"/>
        <c:majorTickMark val="out"/>
        <c:minorTickMark val="none"/>
        <c:tickLblPos val="nextTo"/>
        <c:spPr>
          <a:ln w="3175">
            <a:solidFill>
              <a:srgbClr val="000080"/>
            </a:solidFill>
            <a:prstDash val="solid"/>
          </a:ln>
        </c:spPr>
        <c:txPr>
          <a:bodyPr rot="0" vert="horz"/>
          <a:lstStyle/>
          <a:p>
            <a:pPr>
              <a:defRPr sz="800" b="1" i="0" u="none" strike="noStrike" baseline="0">
                <a:solidFill>
                  <a:srgbClr val="000080"/>
                </a:solidFill>
                <a:latin typeface="Arial"/>
                <a:ea typeface="Arial"/>
                <a:cs typeface="Arial"/>
              </a:defRPr>
            </a:pPr>
            <a:endParaRPr lang="en-US"/>
          </a:p>
        </c:txPr>
        <c:crossAx val="406579864"/>
        <c:crosses val="autoZero"/>
        <c:crossBetween val="midCat"/>
        <c:majorUnit val="20000"/>
      </c:valAx>
      <c:spPr>
        <a:pattFill prst="pct20">
          <a:fgClr>
            <a:srgbClr xmlns:mc="http://schemas.openxmlformats.org/markup-compatibility/2006" xmlns:a14="http://schemas.microsoft.com/office/drawing/2010/main" val="69FFFF" mc:Ignorable="a14" a14:legacySpreadsheetColorIndex="41"/>
          </a:fgClr>
          <a:bgClr>
            <a:srgbClr xmlns:mc="http://schemas.openxmlformats.org/markup-compatibility/2006" xmlns:a14="http://schemas.microsoft.com/office/drawing/2010/main" val="FFFFFF" mc:Ignorable="a14" a14:legacySpreadsheetColorIndex="9"/>
          </a:bgClr>
        </a:pattFill>
        <a:ln w="12700">
          <a:solidFill>
            <a:srgbClr val="808080"/>
          </a:solidFill>
          <a:prstDash val="solid"/>
        </a:ln>
      </c:spPr>
    </c:plotArea>
    <c:plotVisOnly val="1"/>
    <c:dispBlanksAs val="gap"/>
    <c:showDLblsOverMax val="0"/>
  </c:chart>
  <c:spPr>
    <a:gradFill rotWithShape="0">
      <a:gsLst>
        <a:gs pos="0">
          <a:srgbClr xmlns:mc="http://schemas.openxmlformats.org/markup-compatibility/2006" xmlns:a14="http://schemas.microsoft.com/office/drawing/2010/main" val="FFFF00" mc:Ignorable="a14" a14:legacySpreadsheetColorIndex="13"/>
        </a:gs>
        <a:gs pos="100000">
          <a:srgbClr xmlns:mc="http://schemas.openxmlformats.org/markup-compatibility/2006" xmlns:a14="http://schemas.microsoft.com/office/drawing/2010/main" val="CCFFCC" mc:Ignorable="a14" a14:legacySpreadsheetColorIndex="42"/>
        </a:gs>
      </a:gsLst>
      <a:path path="rect">
        <a:fillToRect t="100000" r="100000"/>
      </a:path>
    </a:gradFill>
    <a:ln w="6350">
      <a:noFill/>
    </a:ln>
  </c:spPr>
  <c:txPr>
    <a:bodyPr/>
    <a:lstStyle/>
    <a:p>
      <a:pPr>
        <a:defRPr sz="9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655172413793102"/>
          <c:y val="6.4377682403433473E-2"/>
          <c:w val="0.79525862068965514"/>
          <c:h val="0.59227467811158796"/>
        </c:manualLayout>
      </c:layout>
      <c:scatterChart>
        <c:scatterStyle val="lineMarker"/>
        <c:varyColors val="0"/>
        <c:ser>
          <c:idx val="1"/>
          <c:order val="0"/>
          <c:tx>
            <c:strRef>
              <c:f>Calculation!$R$115</c:f>
              <c:strCache>
                <c:ptCount val="1"/>
                <c:pt idx="0">
                  <c:v>Preconditional LSL</c:v>
                </c:pt>
              </c:strCache>
            </c:strRef>
          </c:tx>
          <c:spPr>
            <a:ln w="19050">
              <a:noFill/>
            </a:ln>
          </c:spPr>
          <c:marker>
            <c:symbol val="diamond"/>
            <c:size val="3"/>
            <c:spPr>
              <a:solidFill>
                <a:srgbClr val="FF00FF"/>
              </a:solidFill>
              <a:ln>
                <a:solidFill>
                  <a:srgbClr val="FF00FF"/>
                </a:solidFill>
                <a:prstDash val="solid"/>
              </a:ln>
            </c:spPr>
          </c:marker>
          <c:xVal>
            <c:numRef>
              <c:f>Calculation!$AJ$116:$AJ$119</c:f>
              <c:numCache>
                <c:formatCode>#,##0</c:formatCode>
                <c:ptCount val="4"/>
                <c:pt idx="0">
                  <c:v>125.5</c:v>
                </c:pt>
                <c:pt idx="1">
                  <c:v>125.5</c:v>
                </c:pt>
                <c:pt idx="2">
                  <c:v>125.5</c:v>
                </c:pt>
                <c:pt idx="3">
                  <c:v>125.5</c:v>
                </c:pt>
              </c:numCache>
            </c:numRef>
          </c:xVal>
          <c:yVal>
            <c:numRef>
              <c:f>Calculation!$R$116:$R$119</c:f>
              <c:numCache>
                <c:formatCode>###\ ###\ ##0.00;\(###\ ###\ ##0.00\);"-"</c:formatCode>
                <c:ptCount val="4"/>
              </c:numCache>
            </c:numRef>
          </c:yVal>
          <c:smooth val="0"/>
          <c:extLst>
            <c:ext xmlns:c16="http://schemas.microsoft.com/office/drawing/2014/chart" uri="{C3380CC4-5D6E-409C-BE32-E72D297353CC}">
              <c16:uniqueId val="{00000000-01A9-4B33-B924-96FBEB9032A6}"/>
            </c:ext>
          </c:extLst>
        </c:ser>
        <c:ser>
          <c:idx val="0"/>
          <c:order val="1"/>
          <c:tx>
            <c:strRef>
              <c:f>Calculation!$S$115</c:f>
              <c:strCache>
                <c:ptCount val="1"/>
                <c:pt idx="0">
                  <c:v>Vested LSL</c:v>
                </c:pt>
              </c:strCache>
            </c:strRef>
          </c:tx>
          <c:spPr>
            <a:ln w="19050">
              <a:noFill/>
            </a:ln>
          </c:spPr>
          <c:marker>
            <c:symbol val="circle"/>
            <c:size val="3"/>
            <c:spPr>
              <a:solidFill>
                <a:srgbClr val="0000FF"/>
              </a:solidFill>
              <a:ln>
                <a:solidFill>
                  <a:srgbClr val="0000FF"/>
                </a:solidFill>
                <a:prstDash val="solid"/>
              </a:ln>
            </c:spPr>
          </c:marker>
          <c:xVal>
            <c:numRef>
              <c:f>Calculation!$AJ$116:$AJ$119</c:f>
              <c:numCache>
                <c:formatCode>#,##0</c:formatCode>
                <c:ptCount val="4"/>
                <c:pt idx="0">
                  <c:v>125.5</c:v>
                </c:pt>
                <c:pt idx="1">
                  <c:v>125.5</c:v>
                </c:pt>
                <c:pt idx="2">
                  <c:v>125.5</c:v>
                </c:pt>
                <c:pt idx="3">
                  <c:v>125.5</c:v>
                </c:pt>
              </c:numCache>
            </c:numRef>
          </c:xVal>
          <c:yVal>
            <c:numRef>
              <c:f>Calculation!$S$116:$S$119</c:f>
              <c:numCache>
                <c:formatCode>###\ ###\ ##0.00;\(###\ ###\ ##0.00\);"-"</c:formatCode>
                <c:ptCount val="4"/>
              </c:numCache>
            </c:numRef>
          </c:yVal>
          <c:smooth val="0"/>
          <c:extLst>
            <c:ext xmlns:c16="http://schemas.microsoft.com/office/drawing/2014/chart" uri="{C3380CC4-5D6E-409C-BE32-E72D297353CC}">
              <c16:uniqueId val="{00000001-01A9-4B33-B924-96FBEB9032A6}"/>
            </c:ext>
          </c:extLst>
        </c:ser>
        <c:ser>
          <c:idx val="3"/>
          <c:order val="2"/>
          <c:tx>
            <c:strRef>
              <c:f>Calculation!$T$115</c:f>
              <c:strCache>
                <c:ptCount val="1"/>
                <c:pt idx="0">
                  <c:v>Conditional LSL</c:v>
                </c:pt>
              </c:strCache>
            </c:strRef>
          </c:tx>
          <c:spPr>
            <a:ln w="19050">
              <a:noFill/>
            </a:ln>
          </c:spPr>
          <c:marker>
            <c:symbol val="triangle"/>
            <c:size val="3"/>
            <c:spPr>
              <a:solidFill>
                <a:srgbClr val="FF0000"/>
              </a:solidFill>
              <a:ln>
                <a:solidFill>
                  <a:srgbClr val="FF0000"/>
                </a:solidFill>
                <a:prstDash val="solid"/>
              </a:ln>
            </c:spPr>
          </c:marker>
          <c:xVal>
            <c:numRef>
              <c:f>Calculation!$AJ$116:$AJ$119</c:f>
              <c:numCache>
                <c:formatCode>#,##0</c:formatCode>
                <c:ptCount val="4"/>
                <c:pt idx="0">
                  <c:v>125.5</c:v>
                </c:pt>
                <c:pt idx="1">
                  <c:v>125.5</c:v>
                </c:pt>
                <c:pt idx="2">
                  <c:v>125.5</c:v>
                </c:pt>
                <c:pt idx="3">
                  <c:v>125.5</c:v>
                </c:pt>
              </c:numCache>
            </c:numRef>
          </c:xVal>
          <c:yVal>
            <c:numRef>
              <c:f>Calculation!$T$116:$T$119</c:f>
              <c:numCache>
                <c:formatCode>###\ ###\ ##0.00;\(###\ ###\ ##0.00\);"-"</c:formatCode>
                <c:ptCount val="4"/>
              </c:numCache>
            </c:numRef>
          </c:yVal>
          <c:smooth val="0"/>
          <c:extLst>
            <c:ext xmlns:c16="http://schemas.microsoft.com/office/drawing/2014/chart" uri="{C3380CC4-5D6E-409C-BE32-E72D297353CC}">
              <c16:uniqueId val="{00000002-01A9-4B33-B924-96FBEB9032A6}"/>
            </c:ext>
          </c:extLst>
        </c:ser>
        <c:dLbls>
          <c:showLegendKey val="0"/>
          <c:showVal val="0"/>
          <c:showCatName val="0"/>
          <c:showSerName val="0"/>
          <c:showPercent val="0"/>
          <c:showBubbleSize val="0"/>
        </c:dLbls>
        <c:axId val="406573304"/>
        <c:axId val="1"/>
      </c:scatterChart>
      <c:valAx>
        <c:axId val="406573304"/>
        <c:scaling>
          <c:orientation val="minMax"/>
          <c:max val="75"/>
          <c:min val="15"/>
        </c:scaling>
        <c:delete val="0"/>
        <c:axPos val="b"/>
        <c:majorGridlines>
          <c:spPr>
            <a:ln w="3175">
              <a:solidFill>
                <a:srgbClr val="C0C0C0"/>
              </a:solidFill>
              <a:prstDash val="solid"/>
            </a:ln>
          </c:spPr>
        </c:majorGridlines>
        <c:title>
          <c:tx>
            <c:rich>
              <a:bodyPr/>
              <a:lstStyle/>
              <a:p>
                <a:pPr>
                  <a:defRPr sz="800" b="1" i="0" u="none" strike="noStrike" baseline="0">
                    <a:solidFill>
                      <a:srgbClr val="800000"/>
                    </a:solidFill>
                    <a:latin typeface="Arial"/>
                    <a:ea typeface="Arial"/>
                    <a:cs typeface="Arial"/>
                  </a:defRPr>
                </a:pPr>
                <a:r>
                  <a:rPr lang="en-AU"/>
                  <a:t>Age</a:t>
                </a:r>
              </a:p>
            </c:rich>
          </c:tx>
          <c:layout>
            <c:manualLayout>
              <c:xMode val="edge"/>
              <c:yMode val="edge"/>
              <c:x val="0.51508620689655171"/>
              <c:y val="0.77253218884120167"/>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800" b="1" i="0" u="none" strike="noStrike" baseline="0">
                <a:solidFill>
                  <a:srgbClr val="000080"/>
                </a:solidFill>
                <a:latin typeface="Arial"/>
                <a:ea typeface="Arial"/>
                <a:cs typeface="Arial"/>
              </a:defRPr>
            </a:pPr>
            <a:endParaRPr lang="en-US"/>
          </a:p>
        </c:txPr>
        <c:crossAx val="1"/>
        <c:crosses val="autoZero"/>
        <c:crossBetween val="midCat"/>
        <c:majorUnit val="10"/>
      </c:valAx>
      <c:valAx>
        <c:axId val="1"/>
        <c:scaling>
          <c:orientation val="minMax"/>
          <c:max val="0.5"/>
          <c:min val="0"/>
        </c:scaling>
        <c:delete val="0"/>
        <c:axPos val="l"/>
        <c:majorGridlines>
          <c:spPr>
            <a:ln w="12700">
              <a:solidFill>
                <a:srgbClr val="C0C0C0"/>
              </a:solidFill>
              <a:prstDash val="solid"/>
            </a:ln>
          </c:spPr>
        </c:majorGridlines>
        <c:title>
          <c:tx>
            <c:rich>
              <a:bodyPr/>
              <a:lstStyle/>
              <a:p>
                <a:pPr>
                  <a:defRPr sz="925" b="1" i="0" u="none" strike="noStrike" baseline="0">
                    <a:solidFill>
                      <a:srgbClr val="800000"/>
                    </a:solidFill>
                    <a:latin typeface="Arial"/>
                    <a:ea typeface="Arial"/>
                    <a:cs typeface="Arial"/>
                  </a:defRPr>
                </a:pPr>
                <a:r>
                  <a:rPr lang="en-AU"/>
                  <a:t>Accrued leave years</a:t>
                </a:r>
              </a:p>
            </c:rich>
          </c:tx>
          <c:layout>
            <c:manualLayout>
              <c:xMode val="edge"/>
              <c:yMode val="edge"/>
              <c:x val="1.0775862068965518E-2"/>
              <c:y val="0.10300429184549356"/>
            </c:manualLayout>
          </c:layout>
          <c:overlay val="0"/>
          <c:spPr>
            <a:noFill/>
            <a:ln w="25400">
              <a:noFill/>
            </a:ln>
          </c:spPr>
        </c:title>
        <c:numFmt formatCode="0.00" sourceLinked="0"/>
        <c:majorTickMark val="out"/>
        <c:minorTickMark val="none"/>
        <c:tickLblPos val="nextTo"/>
        <c:spPr>
          <a:ln w="3175">
            <a:solidFill>
              <a:srgbClr val="000080"/>
            </a:solidFill>
            <a:prstDash val="solid"/>
          </a:ln>
        </c:spPr>
        <c:txPr>
          <a:bodyPr rot="0" vert="horz"/>
          <a:lstStyle/>
          <a:p>
            <a:pPr>
              <a:defRPr sz="800" b="1" i="0" u="none" strike="noStrike" baseline="0">
                <a:solidFill>
                  <a:srgbClr val="000080"/>
                </a:solidFill>
                <a:latin typeface="Arial"/>
                <a:ea typeface="Arial"/>
                <a:cs typeface="Arial"/>
              </a:defRPr>
            </a:pPr>
            <a:endParaRPr lang="en-US"/>
          </a:p>
        </c:txPr>
        <c:crossAx val="406573304"/>
        <c:crosses val="autoZero"/>
        <c:crossBetween val="midCat"/>
        <c:majorUnit val="0.05"/>
        <c:minorUnit val="0.01"/>
      </c:valAx>
      <c:spPr>
        <a:pattFill prst="pct20">
          <a:fgClr>
            <a:srgbClr xmlns:mc="http://schemas.openxmlformats.org/markup-compatibility/2006" xmlns:a14="http://schemas.microsoft.com/office/drawing/2010/main" val="69FFFF" mc:Ignorable="a14" a14:legacySpreadsheetColorIndex="41"/>
          </a:fgClr>
          <a:bgClr>
            <a:srgbClr xmlns:mc="http://schemas.openxmlformats.org/markup-compatibility/2006" xmlns:a14="http://schemas.microsoft.com/office/drawing/2010/main" val="FFFFFF" mc:Ignorable="a14" a14:legacySpreadsheetColorIndex="9"/>
          </a:bgClr>
        </a:pattFill>
        <a:ln w="12700">
          <a:solidFill>
            <a:srgbClr val="808080"/>
          </a:solidFill>
          <a:prstDash val="solid"/>
        </a:ln>
      </c:spPr>
    </c:plotArea>
    <c:legend>
      <c:legendPos val="b"/>
      <c:layout>
        <c:manualLayout>
          <c:xMode val="edge"/>
          <c:yMode val="edge"/>
          <c:x val="0.16163793103448276"/>
          <c:y val="0.86695278969957079"/>
          <c:w val="0.66379310344827591"/>
          <c:h val="9.4420600858369105E-2"/>
        </c:manualLayout>
      </c:layout>
      <c:overlay val="0"/>
      <c:spPr>
        <a:solidFill>
          <a:srgbClr val="FFFFFF"/>
        </a:solidFill>
        <a:ln w="25400">
          <a:noFill/>
        </a:ln>
      </c:spPr>
      <c:txPr>
        <a:bodyPr/>
        <a:lstStyle/>
        <a:p>
          <a:pPr>
            <a:defRPr sz="895" b="1" i="0" u="none" strike="noStrike" baseline="0">
              <a:solidFill>
                <a:srgbClr val="0000FF"/>
              </a:solidFill>
              <a:latin typeface="Arial"/>
              <a:ea typeface="Arial"/>
              <a:cs typeface="Arial"/>
            </a:defRPr>
          </a:pPr>
          <a:endParaRPr lang="en-US"/>
        </a:p>
      </c:txPr>
    </c:legend>
    <c:plotVisOnly val="1"/>
    <c:dispBlanksAs val="gap"/>
    <c:showDLblsOverMax val="0"/>
  </c:chart>
  <c:spPr>
    <a:gradFill rotWithShape="0">
      <a:gsLst>
        <a:gs pos="0">
          <a:srgbClr xmlns:mc="http://schemas.openxmlformats.org/markup-compatibility/2006" xmlns:a14="http://schemas.microsoft.com/office/drawing/2010/main" val="FFFF00" mc:Ignorable="a14" a14:legacySpreadsheetColorIndex="13"/>
        </a:gs>
        <a:gs pos="100000">
          <a:srgbClr xmlns:mc="http://schemas.openxmlformats.org/markup-compatibility/2006" xmlns:a14="http://schemas.microsoft.com/office/drawing/2010/main" val="CCFFCC" mc:Ignorable="a14" a14:legacySpreadsheetColorIndex="42"/>
        </a:gs>
      </a:gsLst>
      <a:path path="rect">
        <a:fillToRect t="100000" r="100000"/>
      </a:path>
    </a:gradFill>
    <a:ln w="6350">
      <a:noFill/>
    </a:ln>
  </c:spPr>
  <c:txPr>
    <a:bodyPr/>
    <a:lstStyle/>
    <a:p>
      <a:pPr>
        <a:defRPr sz="9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54545454545454"/>
          <c:y val="6.4102831625732951E-2"/>
          <c:w val="0.78409090909090906"/>
          <c:h val="0.59829309517350748"/>
        </c:manualLayout>
      </c:layout>
      <c:scatterChart>
        <c:scatterStyle val="lineMarker"/>
        <c:varyColors val="0"/>
        <c:ser>
          <c:idx val="1"/>
          <c:order val="0"/>
          <c:tx>
            <c:strRef>
              <c:f>Calculation!$R$115</c:f>
              <c:strCache>
                <c:ptCount val="1"/>
                <c:pt idx="0">
                  <c:v>Preconditional LSL</c:v>
                </c:pt>
              </c:strCache>
            </c:strRef>
          </c:tx>
          <c:spPr>
            <a:ln w="19050">
              <a:noFill/>
            </a:ln>
          </c:spPr>
          <c:marker>
            <c:symbol val="diamond"/>
            <c:size val="3"/>
            <c:spPr>
              <a:solidFill>
                <a:srgbClr val="FF00FF"/>
              </a:solidFill>
              <a:ln>
                <a:solidFill>
                  <a:srgbClr val="FF00FF"/>
                </a:solidFill>
                <a:prstDash val="solid"/>
              </a:ln>
            </c:spPr>
          </c:marker>
          <c:xVal>
            <c:numRef>
              <c:f>Calculation!$AL$116:$AL$119</c:f>
              <c:numCache>
                <c:formatCode>###\ ###\ ##0.00;\(###\ ###\ ##0.00\);"-"</c:formatCode>
                <c:ptCount val="4"/>
                <c:pt idx="0">
                  <c:v>125.5</c:v>
                </c:pt>
                <c:pt idx="1">
                  <c:v>125.5</c:v>
                </c:pt>
                <c:pt idx="2">
                  <c:v>125.5</c:v>
                </c:pt>
                <c:pt idx="3">
                  <c:v>125.5</c:v>
                </c:pt>
              </c:numCache>
            </c:numRef>
          </c:xVal>
          <c:yVal>
            <c:numRef>
              <c:f>Calculation!$R$116:$R$119</c:f>
              <c:numCache>
                <c:formatCode>###\ ###\ ##0.00;\(###\ ###\ ##0.00\);"-"</c:formatCode>
                <c:ptCount val="4"/>
              </c:numCache>
            </c:numRef>
          </c:yVal>
          <c:smooth val="0"/>
          <c:extLst>
            <c:ext xmlns:c16="http://schemas.microsoft.com/office/drawing/2014/chart" uri="{C3380CC4-5D6E-409C-BE32-E72D297353CC}">
              <c16:uniqueId val="{00000000-5E44-4FD1-B65F-C5471C4AB911}"/>
            </c:ext>
          </c:extLst>
        </c:ser>
        <c:ser>
          <c:idx val="0"/>
          <c:order val="1"/>
          <c:tx>
            <c:strRef>
              <c:f>Calculation!$S$115</c:f>
              <c:strCache>
                <c:ptCount val="1"/>
                <c:pt idx="0">
                  <c:v>Vested LSL</c:v>
                </c:pt>
              </c:strCache>
            </c:strRef>
          </c:tx>
          <c:spPr>
            <a:ln w="19050">
              <a:noFill/>
            </a:ln>
          </c:spPr>
          <c:marker>
            <c:symbol val="circle"/>
            <c:size val="3"/>
            <c:spPr>
              <a:solidFill>
                <a:srgbClr val="0000FF"/>
              </a:solidFill>
              <a:ln>
                <a:solidFill>
                  <a:srgbClr val="0000FF"/>
                </a:solidFill>
                <a:prstDash val="solid"/>
              </a:ln>
            </c:spPr>
          </c:marker>
          <c:xVal>
            <c:numRef>
              <c:f>Calculation!$AL$116:$AL$119</c:f>
              <c:numCache>
                <c:formatCode>###\ ###\ ##0.00;\(###\ ###\ ##0.00\);"-"</c:formatCode>
                <c:ptCount val="4"/>
                <c:pt idx="0">
                  <c:v>125.5</c:v>
                </c:pt>
                <c:pt idx="1">
                  <c:v>125.5</c:v>
                </c:pt>
                <c:pt idx="2">
                  <c:v>125.5</c:v>
                </c:pt>
                <c:pt idx="3">
                  <c:v>125.5</c:v>
                </c:pt>
              </c:numCache>
            </c:numRef>
          </c:xVal>
          <c:yVal>
            <c:numRef>
              <c:f>Calculation!$S$116:$S$119</c:f>
              <c:numCache>
                <c:formatCode>###\ ###\ ##0.00;\(###\ ###\ ##0.00\);"-"</c:formatCode>
                <c:ptCount val="4"/>
              </c:numCache>
            </c:numRef>
          </c:yVal>
          <c:smooth val="0"/>
          <c:extLst>
            <c:ext xmlns:c16="http://schemas.microsoft.com/office/drawing/2014/chart" uri="{C3380CC4-5D6E-409C-BE32-E72D297353CC}">
              <c16:uniqueId val="{00000001-5E44-4FD1-B65F-C5471C4AB911}"/>
            </c:ext>
          </c:extLst>
        </c:ser>
        <c:ser>
          <c:idx val="3"/>
          <c:order val="2"/>
          <c:tx>
            <c:strRef>
              <c:f>Calculation!$T$115</c:f>
              <c:strCache>
                <c:ptCount val="1"/>
                <c:pt idx="0">
                  <c:v>Conditional LSL</c:v>
                </c:pt>
              </c:strCache>
            </c:strRef>
          </c:tx>
          <c:spPr>
            <a:ln w="19050">
              <a:noFill/>
            </a:ln>
          </c:spPr>
          <c:marker>
            <c:symbol val="triangle"/>
            <c:size val="3"/>
            <c:spPr>
              <a:solidFill>
                <a:srgbClr val="FF0000"/>
              </a:solidFill>
              <a:ln>
                <a:solidFill>
                  <a:srgbClr val="FF0000"/>
                </a:solidFill>
                <a:prstDash val="solid"/>
              </a:ln>
            </c:spPr>
          </c:marker>
          <c:xVal>
            <c:numRef>
              <c:f>Calculation!$AL$116:$AL$119</c:f>
              <c:numCache>
                <c:formatCode>###\ ###\ ##0.00;\(###\ ###\ ##0.00\);"-"</c:formatCode>
                <c:ptCount val="4"/>
                <c:pt idx="0">
                  <c:v>125.5</c:v>
                </c:pt>
                <c:pt idx="1">
                  <c:v>125.5</c:v>
                </c:pt>
                <c:pt idx="2">
                  <c:v>125.5</c:v>
                </c:pt>
                <c:pt idx="3">
                  <c:v>125.5</c:v>
                </c:pt>
              </c:numCache>
            </c:numRef>
          </c:xVal>
          <c:yVal>
            <c:numRef>
              <c:f>Calculation!$T$116:$T$119</c:f>
              <c:numCache>
                <c:formatCode>###\ ###\ ##0.00;\(###\ ###\ ##0.00\);"-"</c:formatCode>
                <c:ptCount val="4"/>
              </c:numCache>
            </c:numRef>
          </c:yVal>
          <c:smooth val="1"/>
          <c:extLst>
            <c:ext xmlns:c16="http://schemas.microsoft.com/office/drawing/2014/chart" uri="{C3380CC4-5D6E-409C-BE32-E72D297353CC}">
              <c16:uniqueId val="{00000002-5E44-4FD1-B65F-C5471C4AB911}"/>
            </c:ext>
          </c:extLst>
        </c:ser>
        <c:dLbls>
          <c:showLegendKey val="0"/>
          <c:showVal val="0"/>
          <c:showCatName val="0"/>
          <c:showSerName val="0"/>
          <c:showPercent val="0"/>
          <c:showBubbleSize val="0"/>
        </c:dLbls>
        <c:axId val="406574944"/>
        <c:axId val="1"/>
      </c:scatterChart>
      <c:valAx>
        <c:axId val="406574944"/>
        <c:scaling>
          <c:orientation val="minMax"/>
          <c:max val="35"/>
          <c:min val="0"/>
        </c:scaling>
        <c:delete val="0"/>
        <c:axPos val="b"/>
        <c:majorGridlines>
          <c:spPr>
            <a:ln w="3175">
              <a:solidFill>
                <a:srgbClr val="C0C0C0"/>
              </a:solidFill>
              <a:prstDash val="solid"/>
            </a:ln>
          </c:spPr>
        </c:majorGridlines>
        <c:title>
          <c:tx>
            <c:rich>
              <a:bodyPr/>
              <a:lstStyle/>
              <a:p>
                <a:pPr>
                  <a:defRPr sz="800" b="1" i="0" u="none" strike="noStrike" baseline="0">
                    <a:solidFill>
                      <a:srgbClr val="800000"/>
                    </a:solidFill>
                    <a:latin typeface="Arial"/>
                    <a:ea typeface="Arial"/>
                    <a:cs typeface="Arial"/>
                  </a:defRPr>
                </a:pPr>
                <a:r>
                  <a:rPr lang="en-AU"/>
                  <a:t>Service</a:t>
                </a:r>
              </a:p>
            </c:rich>
          </c:tx>
          <c:layout>
            <c:manualLayout>
              <c:xMode val="edge"/>
              <c:yMode val="edge"/>
              <c:x val="0.49545454545454548"/>
              <c:y val="0.77778102372555979"/>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1" i="0" u="none" strike="noStrike" baseline="0">
                <a:solidFill>
                  <a:srgbClr val="000080"/>
                </a:solidFill>
                <a:latin typeface="Arial"/>
                <a:ea typeface="Arial"/>
                <a:cs typeface="Arial"/>
              </a:defRPr>
            </a:pPr>
            <a:endParaRPr lang="en-US"/>
          </a:p>
        </c:txPr>
        <c:crossAx val="1"/>
        <c:crosses val="autoZero"/>
        <c:crossBetween val="midCat"/>
        <c:majorUnit val="5"/>
      </c:valAx>
      <c:valAx>
        <c:axId val="1"/>
        <c:scaling>
          <c:orientation val="minMax"/>
          <c:max val="0.5"/>
          <c:min val="0"/>
        </c:scaling>
        <c:delete val="0"/>
        <c:axPos val="l"/>
        <c:majorGridlines>
          <c:spPr>
            <a:ln w="12700">
              <a:solidFill>
                <a:srgbClr val="C0C0C0"/>
              </a:solidFill>
              <a:prstDash val="solid"/>
            </a:ln>
          </c:spPr>
        </c:majorGridlines>
        <c:title>
          <c:tx>
            <c:rich>
              <a:bodyPr/>
              <a:lstStyle/>
              <a:p>
                <a:pPr>
                  <a:defRPr sz="925" b="1" i="0" u="none" strike="noStrike" baseline="0">
                    <a:solidFill>
                      <a:srgbClr val="800000"/>
                    </a:solidFill>
                    <a:latin typeface="Arial"/>
                    <a:ea typeface="Arial"/>
                    <a:cs typeface="Arial"/>
                  </a:defRPr>
                </a:pPr>
                <a:r>
                  <a:rPr lang="en-AU"/>
                  <a:t>Accrued leave years</a:t>
                </a:r>
              </a:p>
            </c:rich>
          </c:tx>
          <c:layout>
            <c:manualLayout>
              <c:xMode val="edge"/>
              <c:yMode val="edge"/>
              <c:x val="1.1363636363636364E-2"/>
              <c:y val="0.10683805270955492"/>
            </c:manualLayout>
          </c:layout>
          <c:overlay val="0"/>
          <c:spPr>
            <a:noFill/>
            <a:ln w="25400">
              <a:noFill/>
            </a:ln>
          </c:spPr>
        </c:title>
        <c:numFmt formatCode="0.00" sourceLinked="0"/>
        <c:majorTickMark val="out"/>
        <c:minorTickMark val="none"/>
        <c:tickLblPos val="nextTo"/>
        <c:spPr>
          <a:ln w="3175">
            <a:solidFill>
              <a:srgbClr val="000080"/>
            </a:solidFill>
            <a:prstDash val="solid"/>
          </a:ln>
        </c:spPr>
        <c:txPr>
          <a:bodyPr rot="0" vert="horz"/>
          <a:lstStyle/>
          <a:p>
            <a:pPr>
              <a:defRPr sz="800" b="1" i="0" u="none" strike="noStrike" baseline="0">
                <a:solidFill>
                  <a:srgbClr val="000080"/>
                </a:solidFill>
                <a:latin typeface="Arial"/>
                <a:ea typeface="Arial"/>
                <a:cs typeface="Arial"/>
              </a:defRPr>
            </a:pPr>
            <a:endParaRPr lang="en-US"/>
          </a:p>
        </c:txPr>
        <c:crossAx val="406574944"/>
        <c:crosses val="autoZero"/>
        <c:crossBetween val="midCat"/>
        <c:majorUnit val="0.05"/>
        <c:minorUnit val="0.01"/>
      </c:valAx>
      <c:spPr>
        <a:pattFill prst="pct20">
          <a:fgClr>
            <a:srgbClr xmlns:mc="http://schemas.openxmlformats.org/markup-compatibility/2006" xmlns:a14="http://schemas.microsoft.com/office/drawing/2010/main" val="69FFFF" mc:Ignorable="a14" a14:legacySpreadsheetColorIndex="41"/>
          </a:fgClr>
          <a:bgClr>
            <a:srgbClr xmlns:mc="http://schemas.openxmlformats.org/markup-compatibility/2006" xmlns:a14="http://schemas.microsoft.com/office/drawing/2010/main" val="FFFFFF" mc:Ignorable="a14" a14:legacySpreadsheetColorIndex="9"/>
          </a:bgClr>
        </a:pattFill>
        <a:ln w="12700">
          <a:solidFill>
            <a:srgbClr val="808080"/>
          </a:solidFill>
          <a:prstDash val="solid"/>
        </a:ln>
      </c:spPr>
    </c:plotArea>
    <c:legend>
      <c:legendPos val="b"/>
      <c:layout>
        <c:manualLayout>
          <c:xMode val="edge"/>
          <c:yMode val="edge"/>
          <c:x val="0.18181818181818182"/>
          <c:y val="0.87179851010996812"/>
          <c:w val="0.62727272727272732"/>
          <c:h val="8.9743964276026128E-2"/>
        </c:manualLayout>
      </c:layout>
      <c:overlay val="0"/>
      <c:spPr>
        <a:solidFill>
          <a:srgbClr val="FFFFFF"/>
        </a:solidFill>
        <a:ln w="25400">
          <a:noFill/>
        </a:ln>
      </c:spPr>
      <c:txPr>
        <a:bodyPr/>
        <a:lstStyle/>
        <a:p>
          <a:pPr>
            <a:defRPr sz="850" b="1" i="0" u="none" strike="noStrike" baseline="0">
              <a:solidFill>
                <a:srgbClr val="0000FF"/>
              </a:solidFill>
              <a:latin typeface="Arial"/>
              <a:ea typeface="Arial"/>
              <a:cs typeface="Arial"/>
            </a:defRPr>
          </a:pPr>
          <a:endParaRPr lang="en-US"/>
        </a:p>
      </c:txPr>
    </c:legend>
    <c:plotVisOnly val="1"/>
    <c:dispBlanksAs val="gap"/>
    <c:showDLblsOverMax val="0"/>
  </c:chart>
  <c:spPr>
    <a:gradFill rotWithShape="0">
      <a:gsLst>
        <a:gs pos="0">
          <a:srgbClr xmlns:mc="http://schemas.openxmlformats.org/markup-compatibility/2006" xmlns:a14="http://schemas.microsoft.com/office/drawing/2010/main" val="FFFF00" mc:Ignorable="a14" a14:legacySpreadsheetColorIndex="13"/>
        </a:gs>
        <a:gs pos="100000">
          <a:srgbClr xmlns:mc="http://schemas.openxmlformats.org/markup-compatibility/2006" xmlns:a14="http://schemas.microsoft.com/office/drawing/2010/main" val="CCFFCC" mc:Ignorable="a14" a14:legacySpreadsheetColorIndex="42"/>
        </a:gs>
      </a:gsLst>
      <a:path path="rect">
        <a:fillToRect t="100000" r="100000"/>
      </a:path>
    </a:gradFill>
    <a:ln w="6350">
      <a:noFill/>
    </a:ln>
  </c:spPr>
  <c:txPr>
    <a:bodyPr/>
    <a:lstStyle/>
    <a:p>
      <a:pPr>
        <a:defRPr sz="9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xdr:colOff>
          <xdr:row>0</xdr:row>
          <xdr:rowOff>0</xdr:rowOff>
        </xdr:from>
        <xdr:to>
          <xdr:col>0</xdr:col>
          <xdr:colOff>600075</xdr:colOff>
          <xdr:row>1</xdr:row>
          <xdr:rowOff>304800</xdr:rowOff>
        </xdr:to>
        <xdr:sp macro="" textlink="">
          <xdr:nvSpPr>
            <xdr:cNvPr id="1028" name="Picture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xdr:from>
      <xdr:col>7</xdr:col>
      <xdr:colOff>57150</xdr:colOff>
      <xdr:row>47</xdr:row>
      <xdr:rowOff>28575</xdr:rowOff>
    </xdr:from>
    <xdr:to>
      <xdr:col>15</xdr:col>
      <xdr:colOff>438150</xdr:colOff>
      <xdr:row>65</xdr:row>
      <xdr:rowOff>9525</xdr:rowOff>
    </xdr:to>
    <xdr:graphicFrame macro="">
      <xdr:nvGraphicFramePr>
        <xdr:cNvPr id="1066" name="Chart 42">
          <a:extLst>
            <a:ext uri="{FF2B5EF4-FFF2-40B4-BE49-F238E27FC236}">
              <a16:creationId xmlns:a16="http://schemas.microsoft.com/office/drawing/2014/main" id="{00000000-0008-0000-0000-00002A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6</xdr:col>
      <xdr:colOff>409575</xdr:colOff>
      <xdr:row>65</xdr:row>
      <xdr:rowOff>47625</xdr:rowOff>
    </xdr:to>
    <xdr:graphicFrame macro="">
      <xdr:nvGraphicFramePr>
        <xdr:cNvPr id="1067" name="Chart 43">
          <a:extLst>
            <a:ext uri="{FF2B5EF4-FFF2-40B4-BE49-F238E27FC236}">
              <a16:creationId xmlns:a16="http://schemas.microsoft.com/office/drawing/2014/main" id="{00000000-0008-0000-0000-00002B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67</xdr:row>
      <xdr:rowOff>9525</xdr:rowOff>
    </xdr:from>
    <xdr:to>
      <xdr:col>6</xdr:col>
      <xdr:colOff>276225</xdr:colOff>
      <xdr:row>86</xdr:row>
      <xdr:rowOff>38100</xdr:rowOff>
    </xdr:to>
    <xdr:graphicFrame macro="">
      <xdr:nvGraphicFramePr>
        <xdr:cNvPr id="1070" name="Chart 46">
          <a:extLst>
            <a:ext uri="{FF2B5EF4-FFF2-40B4-BE49-F238E27FC236}">
              <a16:creationId xmlns:a16="http://schemas.microsoft.com/office/drawing/2014/main" id="{00000000-0008-0000-0000-00002E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67</xdr:row>
      <xdr:rowOff>0</xdr:rowOff>
    </xdr:from>
    <xdr:to>
      <xdr:col>15</xdr:col>
      <xdr:colOff>285750</xdr:colOff>
      <xdr:row>86</xdr:row>
      <xdr:rowOff>38100</xdr:rowOff>
    </xdr:to>
    <xdr:graphicFrame macro="">
      <xdr:nvGraphicFramePr>
        <xdr:cNvPr id="1071" name="Chart 47">
          <a:extLst>
            <a:ext uri="{FF2B5EF4-FFF2-40B4-BE49-F238E27FC236}">
              <a16:creationId xmlns:a16="http://schemas.microsoft.com/office/drawing/2014/main" id="{00000000-0008-0000-0000-00002F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89</xdr:row>
      <xdr:rowOff>0</xdr:rowOff>
    </xdr:from>
    <xdr:to>
      <xdr:col>6</xdr:col>
      <xdr:colOff>295275</xdr:colOff>
      <xdr:row>108</xdr:row>
      <xdr:rowOff>47625</xdr:rowOff>
    </xdr:to>
    <xdr:graphicFrame macro="">
      <xdr:nvGraphicFramePr>
        <xdr:cNvPr id="1072" name="Chart 48">
          <a:extLst>
            <a:ext uri="{FF2B5EF4-FFF2-40B4-BE49-F238E27FC236}">
              <a16:creationId xmlns:a16="http://schemas.microsoft.com/office/drawing/2014/main" id="{00000000-0008-0000-0000-000030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0</xdr:colOff>
      <xdr:row>89</xdr:row>
      <xdr:rowOff>0</xdr:rowOff>
    </xdr:from>
    <xdr:to>
      <xdr:col>15</xdr:col>
      <xdr:colOff>304800</xdr:colOff>
      <xdr:row>108</xdr:row>
      <xdr:rowOff>57150</xdr:rowOff>
    </xdr:to>
    <xdr:graphicFrame macro="">
      <xdr:nvGraphicFramePr>
        <xdr:cNvPr id="1073" name="Chart 49">
          <a:extLst>
            <a:ext uri="{FF2B5EF4-FFF2-40B4-BE49-F238E27FC236}">
              <a16:creationId xmlns:a16="http://schemas.microsoft.com/office/drawing/2014/main" id="{00000000-0008-0000-0000-000031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omments" Target="../comments1.xml"/><Relationship Id="rId2" Type="http://schemas.openxmlformats.org/officeDocument/2006/relationships/printerSettings" Target="../printerSettings/printerSettings1.bin"/><Relationship Id="rId1" Type="http://schemas.openxmlformats.org/officeDocument/2006/relationships/hyperlink" Target="mailto:Barton@actuary.com.au?subject=Long%20Service%20Leave" TargetMode="External"/><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D310"/>
  <sheetViews>
    <sheetView tabSelected="1" zoomScale="115" zoomScaleNormal="115" workbookViewId="0">
      <selection activeCell="E10" sqref="E10"/>
    </sheetView>
  </sheetViews>
  <sheetFormatPr defaultRowHeight="9" outlineLevelRow="1" x14ac:dyDescent="0.15"/>
  <cols>
    <col min="1" max="1" width="18.796875" style="1" customWidth="1"/>
    <col min="2" max="2" width="21" style="1" customWidth="1"/>
    <col min="3" max="3" width="11.19921875" style="1" customWidth="1"/>
    <col min="4" max="4" width="13.59765625" style="79" customWidth="1"/>
    <col min="5" max="5" width="11.796875" style="79" customWidth="1"/>
    <col min="6" max="16" width="10.19921875" style="1" customWidth="1"/>
    <col min="17" max="19" width="9.796875" style="1" bestFit="1" customWidth="1"/>
    <col min="20" max="21" width="10.19921875" style="1" bestFit="1" customWidth="1"/>
    <col min="22" max="31" width="9.796875" style="1" bestFit="1" customWidth="1"/>
    <col min="32" max="32" width="9.59765625" style="1"/>
  </cols>
  <sheetData>
    <row r="1" spans="1:33" ht="24.95" customHeight="1" x14ac:dyDescent="0.15">
      <c r="A1"/>
      <c r="B1" s="15"/>
      <c r="C1" s="15"/>
      <c r="D1" s="61"/>
      <c r="E1" s="61"/>
      <c r="F1" s="15"/>
      <c r="G1" s="15"/>
      <c r="H1" s="15"/>
      <c r="I1" s="15"/>
      <c r="J1" s="15"/>
      <c r="K1" s="15"/>
      <c r="L1" s="15"/>
      <c r="M1" s="15"/>
      <c r="N1" s="15"/>
      <c r="O1" s="15"/>
      <c r="P1" s="15"/>
      <c r="Q1"/>
      <c r="R1"/>
      <c r="S1"/>
      <c r="T1"/>
      <c r="U1"/>
      <c r="V1"/>
      <c r="W1"/>
      <c r="X1"/>
      <c r="Y1"/>
      <c r="Z1"/>
      <c r="AA1"/>
      <c r="AB1"/>
      <c r="AC1"/>
      <c r="AD1"/>
      <c r="AE1"/>
      <c r="AF1"/>
    </row>
    <row r="2" spans="1:33" ht="24.95" customHeight="1" thickBot="1" x14ac:dyDescent="0.45">
      <c r="A2" s="16"/>
      <c r="B2" s="17" t="s">
        <v>0</v>
      </c>
      <c r="C2" s="17"/>
      <c r="D2" s="62"/>
      <c r="E2" s="62"/>
      <c r="F2" s="16"/>
      <c r="G2" s="16"/>
      <c r="H2" s="16"/>
      <c r="I2" s="16"/>
      <c r="J2" s="16"/>
      <c r="K2" s="16"/>
      <c r="L2" s="16"/>
      <c r="M2" s="16"/>
      <c r="N2" s="16"/>
      <c r="O2" s="16"/>
      <c r="P2" s="16"/>
      <c r="Q2"/>
      <c r="R2"/>
      <c r="S2"/>
      <c r="T2"/>
      <c r="U2"/>
      <c r="V2"/>
      <c r="W2"/>
      <c r="X2"/>
      <c r="Y2"/>
      <c r="Z2"/>
      <c r="AA2"/>
      <c r="AB2"/>
      <c r="AC2"/>
      <c r="AD2"/>
      <c r="AE2"/>
      <c r="AF2"/>
    </row>
    <row r="3" spans="1:33" ht="10.5" thickTop="1" thickBot="1" x14ac:dyDescent="0.2">
      <c r="A3"/>
      <c r="B3"/>
      <c r="C3"/>
      <c r="D3" s="63"/>
      <c r="E3" s="63"/>
      <c r="F3"/>
      <c r="G3"/>
      <c r="H3"/>
      <c r="I3"/>
      <c r="J3"/>
      <c r="K3"/>
      <c r="L3"/>
      <c r="M3"/>
      <c r="N3"/>
      <c r="O3"/>
      <c r="P3"/>
      <c r="Q3"/>
      <c r="R3"/>
      <c r="S3"/>
      <c r="T3"/>
      <c r="U3"/>
      <c r="V3"/>
      <c r="W3"/>
      <c r="X3"/>
      <c r="Y3"/>
      <c r="Z3"/>
      <c r="AA3"/>
      <c r="AB3"/>
      <c r="AC3"/>
      <c r="AD3"/>
      <c r="AE3"/>
      <c r="AF3"/>
    </row>
    <row r="4" spans="1:33" s="2" customFormat="1" ht="21" thickTop="1" x14ac:dyDescent="0.3">
      <c r="A4" s="4" t="s">
        <v>92</v>
      </c>
      <c r="B4"/>
      <c r="C4"/>
      <c r="D4" s="63"/>
      <c r="E4" s="80" t="s">
        <v>28</v>
      </c>
      <c r="F4" s="44"/>
      <c r="G4" s="44"/>
      <c r="H4" s="44"/>
      <c r="I4" s="44"/>
      <c r="J4" s="44"/>
      <c r="K4" s="45"/>
      <c r="L4"/>
      <c r="M4"/>
      <c r="N4"/>
      <c r="O4" s="1"/>
      <c r="P4" s="1"/>
      <c r="Q4" s="1"/>
      <c r="R4" s="1"/>
      <c r="S4" s="1"/>
      <c r="T4" s="1"/>
      <c r="U4" s="1"/>
      <c r="V4" s="1"/>
      <c r="W4" s="1"/>
      <c r="X4" s="1"/>
      <c r="Y4" s="1"/>
      <c r="Z4" s="1"/>
      <c r="AA4" s="1"/>
      <c r="AB4" s="1"/>
      <c r="AC4" s="1"/>
      <c r="AD4" s="1"/>
      <c r="AE4" s="1"/>
      <c r="AF4" s="1"/>
      <c r="AG4" s="1"/>
    </row>
    <row r="5" spans="1:33" x14ac:dyDescent="0.15">
      <c r="A5"/>
      <c r="B5"/>
      <c r="C5"/>
      <c r="D5" s="63"/>
      <c r="E5" s="64">
        <v>1</v>
      </c>
      <c r="F5" s="46" t="s">
        <v>29</v>
      </c>
      <c r="G5" s="47"/>
      <c r="H5" s="47"/>
      <c r="I5" s="47"/>
      <c r="J5" s="47"/>
      <c r="K5" s="48"/>
      <c r="L5"/>
      <c r="M5"/>
      <c r="N5"/>
      <c r="O5"/>
      <c r="P5"/>
      <c r="Q5"/>
      <c r="R5"/>
      <c r="S5"/>
      <c r="T5"/>
      <c r="U5"/>
      <c r="V5"/>
      <c r="W5"/>
      <c r="X5"/>
      <c r="Y5"/>
      <c r="Z5"/>
      <c r="AA5"/>
      <c r="AB5"/>
      <c r="AC5"/>
      <c r="AD5"/>
      <c r="AE5"/>
      <c r="AF5"/>
    </row>
    <row r="6" spans="1:33" s="2" customFormat="1" ht="18" x14ac:dyDescent="0.25">
      <c r="A6" s="5" t="s">
        <v>93</v>
      </c>
      <c r="B6"/>
      <c r="C6"/>
      <c r="D6" s="63"/>
      <c r="E6" s="65">
        <v>2</v>
      </c>
      <c r="F6" s="124" t="s">
        <v>47</v>
      </c>
      <c r="G6" s="124"/>
      <c r="H6" s="124"/>
      <c r="I6" s="124"/>
      <c r="J6" s="124"/>
      <c r="K6" s="125"/>
      <c r="M6"/>
      <c r="N6"/>
      <c r="O6"/>
      <c r="P6"/>
      <c r="Q6"/>
      <c r="R6"/>
      <c r="S6"/>
      <c r="T6"/>
      <c r="U6"/>
      <c r="V6" s="1"/>
      <c r="W6" s="1"/>
      <c r="X6" s="1"/>
      <c r="Y6" s="1"/>
      <c r="Z6" s="1"/>
      <c r="AA6" s="1"/>
      <c r="AB6" s="1"/>
      <c r="AC6" s="1"/>
      <c r="AD6" s="1"/>
      <c r="AE6" s="1"/>
      <c r="AF6" s="1"/>
      <c r="AG6" s="1"/>
    </row>
    <row r="7" spans="1:33" x14ac:dyDescent="0.15">
      <c r="A7"/>
      <c r="B7"/>
      <c r="C7"/>
      <c r="D7" s="63"/>
      <c r="E7" s="64">
        <v>3</v>
      </c>
      <c r="F7" s="47" t="s">
        <v>77</v>
      </c>
      <c r="G7" s="47"/>
      <c r="H7" s="47"/>
      <c r="I7" s="47"/>
      <c r="J7" s="47"/>
      <c r="K7" s="48"/>
      <c r="M7"/>
      <c r="N7"/>
      <c r="O7"/>
      <c r="P7"/>
      <c r="Q7"/>
      <c r="R7"/>
      <c r="S7"/>
      <c r="T7"/>
      <c r="U7"/>
      <c r="V7"/>
      <c r="W7"/>
      <c r="X7"/>
      <c r="Y7"/>
      <c r="Z7"/>
      <c r="AA7"/>
      <c r="AB7"/>
      <c r="AC7"/>
      <c r="AD7"/>
      <c r="AE7"/>
      <c r="AF7"/>
    </row>
    <row r="8" spans="1:33" ht="20.25" customHeight="1" thickBot="1" x14ac:dyDescent="0.2">
      <c r="A8" s="29"/>
      <c r="B8" s="29"/>
      <c r="C8" s="29"/>
      <c r="D8" s="63"/>
      <c r="E8" s="64">
        <v>4</v>
      </c>
      <c r="F8" s="46" t="s">
        <v>30</v>
      </c>
      <c r="G8" s="47"/>
      <c r="H8" s="47"/>
      <c r="I8" s="47"/>
      <c r="J8" s="47"/>
      <c r="K8" s="48"/>
      <c r="L8"/>
      <c r="M8"/>
      <c r="N8"/>
      <c r="O8"/>
      <c r="P8"/>
      <c r="Q8"/>
      <c r="R8"/>
      <c r="S8"/>
      <c r="T8"/>
      <c r="U8"/>
      <c r="V8"/>
      <c r="W8"/>
      <c r="X8"/>
      <c r="Y8"/>
      <c r="Z8"/>
      <c r="AA8"/>
      <c r="AB8"/>
      <c r="AC8"/>
      <c r="AD8"/>
      <c r="AE8"/>
      <c r="AF8"/>
    </row>
    <row r="9" spans="1:33" s="2" customFormat="1" ht="11.25" x14ac:dyDescent="0.2">
      <c r="A9" s="24" t="s">
        <v>1</v>
      </c>
      <c r="B9"/>
      <c r="C9" s="54">
        <v>45838</v>
      </c>
      <c r="D9" s="66"/>
      <c r="E9" s="64">
        <v>5</v>
      </c>
      <c r="F9" s="46" t="s">
        <v>95</v>
      </c>
      <c r="G9" s="47"/>
      <c r="H9" s="47"/>
      <c r="I9" s="47"/>
      <c r="J9" s="47"/>
      <c r="K9" s="48"/>
      <c r="L9"/>
      <c r="M9"/>
      <c r="N9"/>
      <c r="O9"/>
      <c r="P9"/>
      <c r="Q9"/>
      <c r="R9"/>
      <c r="S9"/>
      <c r="T9"/>
      <c r="U9"/>
      <c r="V9" s="1"/>
      <c r="W9" s="1"/>
      <c r="X9" s="1"/>
      <c r="Y9" s="1"/>
      <c r="Z9" s="1"/>
      <c r="AA9" s="1"/>
      <c r="AB9" s="1"/>
      <c r="AC9" s="1"/>
      <c r="AD9" s="1"/>
      <c r="AE9" s="1"/>
      <c r="AF9" s="1"/>
      <c r="AG9" s="1"/>
    </row>
    <row r="10" spans="1:33" s="2" customFormat="1" ht="9.1999999999999993" customHeight="1" thickBot="1" x14ac:dyDescent="0.25">
      <c r="A10" s="24" t="s">
        <v>42</v>
      </c>
      <c r="C10" s="53">
        <f>EOMONTH(ValDate,-12)</f>
        <v>45473</v>
      </c>
      <c r="D10" s="66"/>
      <c r="E10" s="64">
        <v>6</v>
      </c>
      <c r="F10" s="46" t="s">
        <v>96</v>
      </c>
      <c r="G10" s="48"/>
      <c r="H10" s="48"/>
      <c r="I10" s="48"/>
      <c r="J10" s="48"/>
      <c r="K10" s="48"/>
      <c r="L10"/>
      <c r="M10"/>
      <c r="N10"/>
      <c r="O10"/>
      <c r="P10"/>
      <c r="Q10"/>
      <c r="R10"/>
      <c r="S10"/>
      <c r="T10"/>
      <c r="U10"/>
      <c r="V10" s="1"/>
      <c r="W10" s="1"/>
      <c r="X10" s="1"/>
      <c r="Y10" s="1"/>
      <c r="Z10" s="1"/>
      <c r="AA10" s="1"/>
      <c r="AB10" s="1"/>
      <c r="AC10" s="1"/>
      <c r="AD10" s="1"/>
      <c r="AE10" s="1"/>
      <c r="AF10" s="1"/>
      <c r="AG10" s="1"/>
    </row>
    <row r="11" spans="1:33" s="2" customFormat="1" ht="9.1999999999999993" customHeight="1" x14ac:dyDescent="0.2">
      <c r="A11" s="28"/>
      <c r="B11" s="28"/>
      <c r="C11" s="28"/>
      <c r="D11" s="63"/>
      <c r="E11" s="64">
        <v>7</v>
      </c>
      <c r="F11" s="46" t="s">
        <v>34</v>
      </c>
      <c r="G11" s="47"/>
      <c r="H11" s="47"/>
      <c r="I11" s="47"/>
      <c r="J11" s="47"/>
      <c r="K11" s="48"/>
      <c r="L11"/>
      <c r="M11"/>
      <c r="N11"/>
      <c r="O11"/>
      <c r="P11"/>
      <c r="Q11"/>
      <c r="R11"/>
      <c r="S11"/>
      <c r="T11"/>
      <c r="U11"/>
      <c r="V11" s="1"/>
      <c r="W11" s="1"/>
      <c r="X11" s="1"/>
      <c r="Y11" s="1"/>
      <c r="Z11" s="1"/>
      <c r="AA11" s="1"/>
      <c r="AB11" s="1"/>
      <c r="AC11" s="1"/>
      <c r="AD11" s="1"/>
      <c r="AE11" s="1"/>
      <c r="AF11" s="1"/>
      <c r="AG11" s="1"/>
    </row>
    <row r="12" spans="1:33" s="2" customFormat="1" ht="9.1999999999999993" customHeight="1" x14ac:dyDescent="0.2">
      <c r="A12"/>
      <c r="B12"/>
      <c r="C12"/>
      <c r="D12" s="63"/>
      <c r="E12" s="64">
        <v>8</v>
      </c>
      <c r="F12" s="46" t="s">
        <v>35</v>
      </c>
      <c r="G12" s="47"/>
      <c r="H12" s="47"/>
      <c r="I12" s="47"/>
      <c r="J12" s="47"/>
      <c r="K12" s="48"/>
      <c r="L12"/>
      <c r="M12"/>
      <c r="N12"/>
      <c r="O12"/>
      <c r="P12"/>
      <c r="Q12"/>
      <c r="R12"/>
      <c r="S12"/>
      <c r="T12"/>
      <c r="U12"/>
      <c r="V12" s="1"/>
      <c r="W12" s="1"/>
      <c r="X12" s="1"/>
      <c r="Y12" s="1"/>
      <c r="Z12" s="1"/>
      <c r="AA12" s="1"/>
      <c r="AB12" s="1"/>
      <c r="AC12" s="1"/>
      <c r="AD12" s="1"/>
      <c r="AE12" s="1"/>
      <c r="AF12" s="1"/>
      <c r="AG12" s="1"/>
    </row>
    <row r="13" spans="1:33" s="2" customFormat="1" ht="9.1999999999999993" customHeight="1" x14ac:dyDescent="0.2">
      <c r="A13"/>
      <c r="B13"/>
      <c r="C13"/>
      <c r="D13" s="63"/>
      <c r="E13" s="64">
        <v>9</v>
      </c>
      <c r="F13" s="46" t="s">
        <v>31</v>
      </c>
      <c r="G13" s="47"/>
      <c r="H13" s="47"/>
      <c r="I13" s="47"/>
      <c r="J13" s="47"/>
      <c r="K13" s="48"/>
      <c r="L13"/>
      <c r="M13"/>
      <c r="N13"/>
      <c r="O13"/>
      <c r="P13"/>
      <c r="Q13"/>
      <c r="R13"/>
      <c r="S13"/>
      <c r="T13"/>
      <c r="U13"/>
      <c r="V13" s="1"/>
      <c r="W13" s="1"/>
      <c r="X13" s="1"/>
      <c r="Y13" s="1"/>
      <c r="Z13" s="1"/>
      <c r="AA13" s="1"/>
      <c r="AB13" s="1"/>
      <c r="AC13" s="1"/>
      <c r="AD13" s="1"/>
      <c r="AE13" s="1"/>
      <c r="AF13" s="1"/>
      <c r="AG13" s="1"/>
    </row>
    <row r="14" spans="1:33" s="2" customFormat="1" ht="9.1999999999999993" customHeight="1" thickBot="1" x14ac:dyDescent="0.25">
      <c r="A14"/>
      <c r="B14"/>
      <c r="C14" s="6"/>
      <c r="D14" s="63"/>
      <c r="E14" s="67">
        <v>10</v>
      </c>
      <c r="F14" s="88" t="s">
        <v>32</v>
      </c>
      <c r="G14" s="49"/>
      <c r="H14" s="49"/>
      <c r="I14" s="49"/>
      <c r="J14" s="49"/>
      <c r="K14" s="50"/>
      <c r="L14"/>
      <c r="M14"/>
      <c r="N14"/>
      <c r="O14"/>
      <c r="P14"/>
      <c r="Q14"/>
      <c r="R14"/>
      <c r="S14"/>
      <c r="T14"/>
      <c r="U14"/>
      <c r="V14" s="1"/>
      <c r="W14" s="1"/>
      <c r="X14" s="1"/>
      <c r="Y14" s="1"/>
      <c r="Z14" s="1"/>
      <c r="AA14" s="1"/>
      <c r="AB14" s="1"/>
      <c r="AC14" s="1"/>
      <c r="AD14" s="1"/>
      <c r="AE14" s="1"/>
      <c r="AF14" s="1"/>
      <c r="AG14" s="1"/>
    </row>
    <row r="15" spans="1:33" s="2" customFormat="1" ht="16.5" thickTop="1" x14ac:dyDescent="0.25">
      <c r="A15" s="9" t="s">
        <v>24</v>
      </c>
      <c r="B15"/>
      <c r="C15"/>
      <c r="D15" s="63"/>
      <c r="E15" s="68"/>
      <c r="L15"/>
      <c r="M15"/>
      <c r="N15"/>
      <c r="O15"/>
      <c r="P15"/>
      <c r="Q15"/>
      <c r="R15"/>
      <c r="S15"/>
      <c r="T15"/>
      <c r="U15"/>
      <c r="V15" s="1"/>
      <c r="W15" s="1"/>
      <c r="X15" s="1"/>
      <c r="Y15" s="1"/>
      <c r="Z15" s="1"/>
      <c r="AA15" s="1"/>
      <c r="AB15" s="1"/>
      <c r="AC15" s="1"/>
      <c r="AD15" s="1"/>
      <c r="AE15" s="1"/>
      <c r="AF15" s="1"/>
      <c r="AG15" s="1"/>
    </row>
    <row r="16" spans="1:33" s="2" customFormat="1" ht="12" thickBot="1" x14ac:dyDescent="0.25">
      <c r="A16" s="23"/>
      <c r="B16" s="23"/>
      <c r="C16" s="23"/>
      <c r="D16" s="69"/>
      <c r="E16" s="69"/>
      <c r="F16" s="23"/>
      <c r="G16" s="22"/>
      <c r="H16" s="29"/>
      <c r="I16" s="29"/>
      <c r="J16" s="29"/>
      <c r="K16" s="29"/>
      <c r="L16" s="29"/>
      <c r="M16" s="29"/>
      <c r="N16" s="29"/>
      <c r="O16" s="29"/>
      <c r="P16" s="1"/>
      <c r="Q16" s="1"/>
      <c r="R16" s="1"/>
      <c r="S16" s="1"/>
      <c r="T16" s="1"/>
    </row>
    <row r="17" spans="1:21" s="2" customFormat="1" ht="11.25" x14ac:dyDescent="0.2">
      <c r="A17" s="13"/>
      <c r="B17" s="19"/>
      <c r="C17" s="31" t="s">
        <v>11</v>
      </c>
      <c r="D17" s="70" t="s">
        <v>12</v>
      </c>
      <c r="E17" s="70" t="s">
        <v>13</v>
      </c>
      <c r="F17" s="31" t="s">
        <v>14</v>
      </c>
      <c r="G17" s="8"/>
      <c r="H17" s="100" t="s">
        <v>61</v>
      </c>
      <c r="I17" s="101">
        <f>EOMONTH(ValDate,-48)</f>
        <v>44377</v>
      </c>
      <c r="J17" s="101">
        <f>EOMONTH(ValDate,-36)</f>
        <v>44742</v>
      </c>
      <c r="K17" s="101">
        <f>EOMONTH(ValDate,-24)</f>
        <v>45107</v>
      </c>
      <c r="L17" s="101">
        <f>EOMONTH(ValDate,-12)</f>
        <v>45473</v>
      </c>
      <c r="M17" s="101">
        <f>ValDate</f>
        <v>45838</v>
      </c>
      <c r="N17" s="101" t="s">
        <v>11</v>
      </c>
      <c r="O17" s="102" t="s">
        <v>71</v>
      </c>
      <c r="P17" s="99"/>
      <c r="Q17" s="1"/>
      <c r="R17" s="1"/>
      <c r="S17" s="1"/>
      <c r="T17" s="1"/>
    </row>
    <row r="18" spans="1:21" s="2" customFormat="1" ht="11.25" x14ac:dyDescent="0.2">
      <c r="A18" s="24" t="s">
        <v>43</v>
      </c>
      <c r="B18" s="25"/>
      <c r="C18" s="32">
        <f>B120</f>
        <v>0</v>
      </c>
      <c r="D18" s="68"/>
      <c r="E18" s="63"/>
      <c r="F18" s="33"/>
      <c r="G18" s="8"/>
      <c r="H18" s="103" t="s">
        <v>62</v>
      </c>
      <c r="I18" s="104">
        <f t="array" ref="I18">SUM(IF($E$116:$E$119&lt;=EOMONTH(I$17,-12),1,0)*IF($F$116:$F$119=0,1,0)) + SUM(IF($E$116:$E$119&lt;=EOMONTH(I$17,-12),1,0)*IF($F$116:$F$119&gt;EOMONTH(I$17,-12),1,0))</f>
        <v>4</v>
      </c>
      <c r="J18" s="104">
        <f t="array" ref="J18">SUM(IF($E$116:$E$119&lt;=EOMONTH(J$17,-12),1,0)*IF($F$116:$F$119=0,1,0)) + SUM(IF($E$116:$E$119&lt;=EOMONTH(J$17,-12),1,0)*IF($F$116:$F$119&gt;EOMONTH(J$17,-12),1,0))</f>
        <v>4</v>
      </c>
      <c r="K18" s="104">
        <f t="array" ref="K18">SUM(IF($E$116:$E$119&lt;=EOMONTH(K$17,-12),1,0)*IF($F$116:$F$119=0,1,0)) + SUM(IF($E$116:$E$119&lt;=EOMONTH(K$17,-12),1,0)*IF($F$116:$F$119&gt;EOMONTH(K$17,-12),1,0))</f>
        <v>4</v>
      </c>
      <c r="L18" s="104">
        <f t="array" ref="L18">SUM(IF($E$116:$E$119&lt;=EOMONTH(L$17,-12),1,0)*IF($F$116:$F$119=0,1,0)) + SUM(IF($E$116:$E$119&lt;=EOMONTH(L$17,-12),1,0)*IF($F$116:$F$119&gt;EOMONTH(L$17,-12),1,0))</f>
        <v>4</v>
      </c>
      <c r="M18" s="104">
        <f t="array" ref="M18">SUM(IF($E$116:$E$119&lt;=EOMONTH(M$17,-12),1,0)*IF($F$116:$F$119=0,1,0)) + SUM(IF($E$116:$E$119&lt;=EOMONTH(M$17,-12),1,0)*IF($F$116:$F$119&gt;EOMONTH(M$17,-12),1,0))</f>
        <v>4</v>
      </c>
      <c r="N18" s="31">
        <f>I18</f>
        <v>4</v>
      </c>
      <c r="O18" s="105"/>
      <c r="P18" s="99"/>
      <c r="Q18" s="1"/>
      <c r="R18" s="1"/>
      <c r="S18" s="1"/>
      <c r="T18" s="1"/>
    </row>
    <row r="19" spans="1:21" s="2" customFormat="1" ht="11.25" x14ac:dyDescent="0.2">
      <c r="A19" s="24" t="str">
        <f>"VALUATION DATE " &amp; UPPER(TEXT(ValDate,"MMM YYYY"))  &amp; " CURRENT EMPLOYEES"</f>
        <v>VALUATION DATE JUN 2025 CURRENT EMPLOYEES</v>
      </c>
      <c r="B19" s="25"/>
      <c r="C19" s="32"/>
      <c r="D19" s="68"/>
      <c r="E19" s="63"/>
      <c r="F19" s="33"/>
      <c r="G19" s="8"/>
      <c r="H19" s="103" t="s">
        <v>63</v>
      </c>
      <c r="I19" s="104">
        <f t="array" ref="I19">SUM(IF($E$116:$E$119&gt;EOMONTH(I$17,-12),1,0)*IF($E$116:$E$119&lt;=I$17,1,0))</f>
        <v>0</v>
      </c>
      <c r="J19" s="104">
        <f t="array" ref="J19">SUM(IF($E$116:$E$119&gt;EOMONTH(J$17,-12),1,0)*IF($E$116:$E$119&lt;=J$17,1,0))</f>
        <v>0</v>
      </c>
      <c r="K19" s="104">
        <f t="array" ref="K19">SUM(IF($E$116:$E$119&gt;EOMONTH(K$17,-12),1,0)*IF($E$116:$E$119&lt;=K$17,1,0))</f>
        <v>0</v>
      </c>
      <c r="L19" s="104">
        <f t="array" ref="L19">SUM(IF($E$116:$E$119&gt;EOMONTH(L$17,-12),1,0)*IF($E$116:$E$119&lt;=L$17,1,0))</f>
        <v>0</v>
      </c>
      <c r="M19" s="104">
        <f t="array" ref="M19">SUM(IF($E$116:$E$119&gt;EOMONTH(M$17,-12),1,0)*IF($E$116:$E$119&lt;=M$17,1,0))</f>
        <v>0</v>
      </c>
      <c r="N19" s="31">
        <f t="shared" ref="N19:N25" si="0">SUM(I19:M19)</f>
        <v>0</v>
      </c>
      <c r="O19" s="105"/>
      <c r="P19" s="99"/>
      <c r="Q19" s="1"/>
      <c r="R19" s="1"/>
      <c r="S19" s="1"/>
      <c r="T19" s="1"/>
    </row>
    <row r="20" spans="1:21" s="2" customFormat="1" ht="11.25" x14ac:dyDescent="0.2">
      <c r="A20" s="24" t="s">
        <v>46</v>
      </c>
      <c r="B20" s="25"/>
      <c r="C20" s="32">
        <f>INDEX(LiveAllRow,$R20)</f>
        <v>4</v>
      </c>
      <c r="D20" s="68"/>
      <c r="E20" s="63"/>
      <c r="F20" s="33">
        <f>AI$128</f>
        <v>125.5</v>
      </c>
      <c r="G20" s="8"/>
      <c r="H20" s="103" t="s">
        <v>64</v>
      </c>
      <c r="I20" s="104">
        <f t="array" ref="I20">SUM(IF($F$116:$F$119&gt;EOMONTH(I$17,-12),1,0)*IF($F$116:$F$119&lt;=I$17,1,0)* IF($G$116:$G$119=$T20,1,0))</f>
        <v>0</v>
      </c>
      <c r="J20" s="104">
        <f t="array" ref="J20">SUM(IF($F$116:$F$119&gt;EOMONTH(J$17,-12),1,0)*IF($F$116:$F$119&lt;=J$17,1,0)* IF($G$116:$G$119=$T20,1,0))</f>
        <v>0</v>
      </c>
      <c r="K20" s="104">
        <f t="array" ref="K20">SUM(IF($F$116:$F$119&gt;EOMONTH(K$17,-12),1,0)*IF($F$116:$F$119&lt;=K$17,1,0)* IF($G$116:$G$119=$T20,1,0))</f>
        <v>0</v>
      </c>
      <c r="L20" s="104">
        <f t="array" ref="L20">SUM(IF($F$116:$F$119&gt;EOMONTH(L$17,-12),1,0)*IF($F$116:$F$119&lt;=L$17,1,0)* IF($G$116:$G$119=$T20,1,0))</f>
        <v>0</v>
      </c>
      <c r="M20" s="104">
        <f t="array" ref="M20">SUM(IF($F$116:$F$119&gt;EOMONTH(M$17,-12),1,0)*IF($F$116:$F$119&lt;=M$17,1,0)* IF($G$116:$G$119=$T20,1,0))</f>
        <v>0</v>
      </c>
      <c r="N20" s="31">
        <f t="shared" si="0"/>
        <v>0</v>
      </c>
      <c r="O20" s="106">
        <f t="array" ref="O20">N20/(N$27+N20/2)</f>
        <v>0</v>
      </c>
      <c r="P20" s="99"/>
      <c r="Q20" s="1"/>
      <c r="R20" s="41">
        <f>COLUMN(AI115)</f>
        <v>35</v>
      </c>
      <c r="S20" s="1"/>
      <c r="T20" s="41">
        <v>1</v>
      </c>
    </row>
    <row r="21" spans="1:21" s="2" customFormat="1" ht="11.25" x14ac:dyDescent="0.2">
      <c r="A21" s="24" t="s">
        <v>19</v>
      </c>
      <c r="B21" s="25"/>
      <c r="C21" s="32"/>
      <c r="D21" s="68"/>
      <c r="E21" s="63"/>
      <c r="F21" s="34">
        <f>AI$129</f>
        <v>0</v>
      </c>
      <c r="G21" s="8"/>
      <c r="H21" s="103" t="s">
        <v>65</v>
      </c>
      <c r="I21" s="104">
        <f t="array" ref="I21">SUM(IF($F$116:$F$119&gt;EOMONTH(I$17,-12),1,0)*IF($F$116:$F$119&lt;=I$17,1,0)* IF($G$116:$G$119=$T21,1,0))</f>
        <v>0</v>
      </c>
      <c r="J21" s="104">
        <f t="array" ref="J21">SUM(IF($F$116:$F$119&gt;EOMONTH(J$17,-12),1,0)*IF($F$116:$F$119&lt;=J$17,1,0)* IF($G$116:$G$119=$T21,1,0))</f>
        <v>0</v>
      </c>
      <c r="K21" s="104">
        <f t="array" ref="K21">SUM(IF($F$116:$F$119&gt;EOMONTH(K$17,-12),1,0)*IF($F$116:$F$119&lt;=K$17,1,0)* IF($G$116:$G$119=$T21,1,0))</f>
        <v>0</v>
      </c>
      <c r="L21" s="104">
        <f t="array" ref="L21">SUM(IF($F$116:$F$119&gt;EOMONTH(L$17,-12),1,0)*IF($F$116:$F$119&lt;=L$17,1,0)* IF($G$116:$G$119=$T21,1,0))</f>
        <v>0</v>
      </c>
      <c r="M21" s="104">
        <f t="array" ref="M21">SUM(IF($F$116:$F$119&gt;EOMONTH(M$17,-12),1,0)*IF($F$116:$F$119&lt;=M$17,1,0)* IF($G$116:$G$119=$T21,1,0))</f>
        <v>0</v>
      </c>
      <c r="N21" s="31">
        <f t="shared" si="0"/>
        <v>0</v>
      </c>
      <c r="O21" s="106">
        <f t="array" ref="O21">N21/(N$27+N21/2)</f>
        <v>0</v>
      </c>
      <c r="P21" s="99"/>
      <c r="Q21" s="1"/>
      <c r="R21" s="41"/>
      <c r="S21" s="1"/>
      <c r="T21" s="41">
        <v>2</v>
      </c>
    </row>
    <row r="22" spans="1:21" s="2" customFormat="1" ht="11.25" x14ac:dyDescent="0.2">
      <c r="A22" s="24" t="str">
        <f t="shared" ref="A22:A28" si="1">INDEX(HeaderRow,$R22)</f>
        <v>Initial qualifying</v>
      </c>
      <c r="B22" s="25"/>
      <c r="C22" s="32">
        <f t="shared" ref="C22:C28" si="2">INDEX(LiveAllRow,$R22)</f>
        <v>0</v>
      </c>
      <c r="D22" s="55">
        <f t="shared" ref="D22:D28" si="3">INDEX(LiveMinRow,$R22)</f>
        <v>0</v>
      </c>
      <c r="E22" s="55">
        <f t="shared" ref="E22:E28" si="4">INDEX(LiveMaxRow,$R22)</f>
        <v>0</v>
      </c>
      <c r="F22" s="33">
        <f t="shared" ref="F22:F28" si="5">INDEX(LiveAvRow,$R22)</f>
        <v>0</v>
      </c>
      <c r="G22" s="8"/>
      <c r="H22" s="103" t="s">
        <v>66</v>
      </c>
      <c r="I22" s="104">
        <f t="array" ref="I22">SUM(IF($F$116:$F$119&gt;EOMONTH(I$17,-12),1,0)*IF($F$116:$F$119&lt;=I$17,1,0)* IF($G$116:$G$119=$T22,1,0))</f>
        <v>0</v>
      </c>
      <c r="J22" s="104">
        <f t="array" ref="J22">SUM(IF($F$116:$F$119&gt;EOMONTH(J$17,-12),1,0)*IF($F$116:$F$119&lt;=J$17,1,0)* IF($G$116:$G$119=$T22,1,0))</f>
        <v>0</v>
      </c>
      <c r="K22" s="104">
        <f t="array" ref="K22">SUM(IF($F$116:$F$119&gt;EOMONTH(K$17,-12),1,0)*IF($F$116:$F$119&lt;=K$17,1,0)* IF($G$116:$G$119=$T22,1,0))</f>
        <v>0</v>
      </c>
      <c r="L22" s="104">
        <f t="array" ref="L22">SUM(IF($F$116:$F$119&gt;EOMONTH(L$17,-12),1,0)*IF($F$116:$F$119&lt;=L$17,1,0)* IF($G$116:$G$119=$T22,1,0))</f>
        <v>0</v>
      </c>
      <c r="M22" s="104">
        <f t="array" ref="M22">SUM(IF($F$116:$F$119&gt;EOMONTH(M$17,-12),1,0)*IF($F$116:$F$119&lt;=M$17,1,0)* IF($G$116:$G$119=$T22,1,0))</f>
        <v>0</v>
      </c>
      <c r="N22" s="31">
        <f t="shared" si="0"/>
        <v>0</v>
      </c>
      <c r="O22" s="106">
        <f t="array" ref="O22">N22/(N$27+N22/2)</f>
        <v>0</v>
      </c>
      <c r="P22" s="99"/>
      <c r="Q22" s="1"/>
      <c r="R22" s="41">
        <f>COLUMN(H$120)</f>
        <v>8</v>
      </c>
      <c r="S22" s="1"/>
      <c r="T22" s="41">
        <v>3</v>
      </c>
    </row>
    <row r="23" spans="1:21" s="2" customFormat="1" ht="11.25" x14ac:dyDescent="0.2">
      <c r="A23" s="24" t="str">
        <f t="shared" si="1"/>
        <v>Subsequent qualifying</v>
      </c>
      <c r="B23" s="25"/>
      <c r="C23" s="32">
        <f t="shared" si="2"/>
        <v>0</v>
      </c>
      <c r="D23" s="55">
        <f t="shared" si="3"/>
        <v>0</v>
      </c>
      <c r="E23" s="55">
        <f t="shared" si="4"/>
        <v>0</v>
      </c>
      <c r="F23" s="33">
        <f t="shared" si="5"/>
        <v>0</v>
      </c>
      <c r="G23" s="8"/>
      <c r="H23" s="103" t="s">
        <v>67</v>
      </c>
      <c r="I23" s="104">
        <f t="array" ref="I23">SUM(IF($F$116:$F$119&gt;EOMONTH(I$17,-12),1,0)*IF($F$116:$F$119&lt;=I$17,1,0)* IF($G$116:$G$119=$T23,1,0))</f>
        <v>0</v>
      </c>
      <c r="J23" s="104">
        <f t="array" ref="J23">SUM(IF($F$116:$F$119&gt;EOMONTH(J$17,-12),1,0)*IF($F$116:$F$119&lt;=J$17,1,0)* IF($G$116:$G$119=$T23,1,0))</f>
        <v>0</v>
      </c>
      <c r="K23" s="104">
        <f t="array" ref="K23">SUM(IF($F$116:$F$119&gt;EOMONTH(K$17,-12),1,0)*IF($F$116:$F$119&lt;=K$17,1,0)* IF($G$116:$G$119=$T23,1,0))</f>
        <v>0</v>
      </c>
      <c r="L23" s="104">
        <f t="array" ref="L23">SUM(IF($F$116:$F$119&gt;EOMONTH(L$17,-12),1,0)*IF($F$116:$F$119&lt;=L$17,1,0)* IF($G$116:$G$119=$T23,1,0))</f>
        <v>0</v>
      </c>
      <c r="M23" s="104">
        <f t="array" ref="M23">SUM(IF($F$116:$F$119&gt;EOMONTH(M$17,-12),1,0)*IF($F$116:$F$119&lt;=M$17,1,0)* IF($G$116:$G$119=$T23,1,0))</f>
        <v>0</v>
      </c>
      <c r="N23" s="31">
        <f t="shared" si="0"/>
        <v>0</v>
      </c>
      <c r="O23" s="106">
        <f t="array" ref="O23">N23/(N$27+N23/2)</f>
        <v>0</v>
      </c>
      <c r="P23" s="99"/>
      <c r="Q23" s="1"/>
      <c r="R23" s="41">
        <f>COLUMN(I$120)</f>
        <v>9</v>
      </c>
      <c r="S23" s="1"/>
      <c r="T23" s="41">
        <v>4</v>
      </c>
    </row>
    <row r="24" spans="1:21" s="2" customFormat="1" ht="11.25" x14ac:dyDescent="0.2">
      <c r="A24" s="24" t="str">
        <f t="shared" si="1"/>
        <v>Initial rate</v>
      </c>
      <c r="B24" s="25"/>
      <c r="C24" s="32">
        <f t="shared" si="2"/>
        <v>0</v>
      </c>
      <c r="D24" s="55">
        <f t="shared" si="3"/>
        <v>0</v>
      </c>
      <c r="E24" s="55">
        <f t="shared" si="4"/>
        <v>0</v>
      </c>
      <c r="F24" s="33">
        <f t="shared" si="5"/>
        <v>0</v>
      </c>
      <c r="G24" s="8"/>
      <c r="H24" s="103" t="s">
        <v>68</v>
      </c>
      <c r="I24" s="104">
        <f t="array" ref="I24">SUM(IF($F$116:$F$119&gt;EOMONTH(I$17,-12),1,0)*IF($F$116:$F$119&lt;=I$17,1,0)* IF($G$116:$G$119=$T24,1,0))</f>
        <v>0</v>
      </c>
      <c r="J24" s="104">
        <f t="array" ref="J24">SUM(IF($F$116:$F$119&gt;EOMONTH(J$17,-12),1,0)*IF($F$116:$F$119&lt;=J$17,1,0)* IF($G$116:$G$119=$T24,1,0))</f>
        <v>0</v>
      </c>
      <c r="K24" s="104">
        <f t="array" ref="K24">SUM(IF($F$116:$F$119&gt;EOMONTH(K$17,-12),1,0)*IF($F$116:$F$119&lt;=K$17,1,0)* IF($G$116:$G$119=$T24,1,0))</f>
        <v>0</v>
      </c>
      <c r="L24" s="104">
        <f t="array" ref="L24">SUM(IF($F$116:$F$119&gt;EOMONTH(L$17,-12),1,0)*IF($F$116:$F$119&lt;=L$17,1,0)* IF($G$116:$G$119=$T24,1,0))</f>
        <v>0</v>
      </c>
      <c r="M24" s="104">
        <f t="array" ref="M24">SUM(IF($F$116:$F$119&gt;EOMONTH(M$17,-12),1,0)*IF($F$116:$F$119&lt;=M$17,1,0)* IF($G$116:$G$119=$T24,1,0))</f>
        <v>0</v>
      </c>
      <c r="N24" s="31">
        <f t="shared" si="0"/>
        <v>0</v>
      </c>
      <c r="O24" s="106">
        <f t="array" ref="O24">N24/(N$27+N24/2)</f>
        <v>0</v>
      </c>
      <c r="P24" s="99"/>
      <c r="Q24" s="1"/>
      <c r="R24" s="41">
        <f>COLUMN(J$120)</f>
        <v>10</v>
      </c>
      <c r="S24" s="1"/>
      <c r="T24" s="41">
        <v>5</v>
      </c>
    </row>
    <row r="25" spans="1:21" s="2" customFormat="1" ht="18.75" x14ac:dyDescent="0.2">
      <c r="A25" s="24" t="str">
        <f t="shared" si="1"/>
        <v>Subsequent rate</v>
      </c>
      <c r="B25" s="25"/>
      <c r="C25" s="33">
        <f t="shared" si="2"/>
        <v>0</v>
      </c>
      <c r="D25" s="55">
        <f t="shared" si="3"/>
        <v>0</v>
      </c>
      <c r="E25" s="55">
        <f t="shared" si="4"/>
        <v>0</v>
      </c>
      <c r="F25" s="33">
        <f t="shared" si="5"/>
        <v>0</v>
      </c>
      <c r="G25" s="8"/>
      <c r="H25" s="107" t="s">
        <v>94</v>
      </c>
      <c r="I25" s="104" cm="1">
        <f t="array" ref="I25">SUM(IF($F$116:$F$119&gt;EOMONTH(I$17,-12),1,0)*IF($F$116:$F$119&lt;=I$17,1,0)* IF($G$116:$G$119=$T25,1,0))</f>
        <v>0</v>
      </c>
      <c r="J25" s="104" cm="1">
        <f t="array" ref="J25">SUM(IF($F$116:$F$119&gt;EOMONTH(J$17,-12),1,0)*IF($F$116:$F$119&lt;=J$17,1,0)* IF($G$116:$G$119=$T25,1,0))</f>
        <v>0</v>
      </c>
      <c r="K25" s="104" cm="1">
        <f t="array" ref="K25">SUM(IF($F$116:$F$119&gt;EOMONTH(K$17,-12),1,0)*IF($F$116:$F$119&lt;=K$17,1,0)* IF($G$116:$G$119=$T25,1,0))</f>
        <v>0</v>
      </c>
      <c r="L25" s="104" cm="1">
        <f t="array" ref="L25">SUM(IF($F$116:$F$119&gt;EOMONTH(L$17,-12),1,0)*IF($F$116:$F$119&lt;=L$17,1,0)* IF($G$116:$G$119=$T25,1,0))</f>
        <v>0</v>
      </c>
      <c r="M25" s="104" cm="1">
        <f t="array" ref="M25">SUM(IF($F$116:$F$119&gt;EOMONTH(M$17,-12),1,0)*IF($F$116:$F$119&lt;=M$17,1,0)* IF($G$116:$G$119=$T25,1,0))</f>
        <v>0</v>
      </c>
      <c r="N25" s="31">
        <f t="shared" si="0"/>
        <v>0</v>
      </c>
      <c r="O25" s="106">
        <f t="array" ref="O25">N25/(N$27+N25/2)</f>
        <v>0</v>
      </c>
      <c r="P25" s="99"/>
      <c r="Q25" s="1"/>
      <c r="R25" s="41">
        <f>COLUMN(K$120)</f>
        <v>11</v>
      </c>
      <c r="S25" s="1"/>
      <c r="T25" s="41">
        <v>6</v>
      </c>
    </row>
    <row r="26" spans="1:21" s="2" customFormat="1" ht="11.25" x14ac:dyDescent="0.2">
      <c r="A26" s="24" t="str">
        <f t="shared" si="1"/>
        <v>Salary (Full time) LSL</v>
      </c>
      <c r="B26" s="25"/>
      <c r="C26" s="32">
        <f t="shared" si="2"/>
        <v>0</v>
      </c>
      <c r="D26" s="71">
        <f t="shared" si="3"/>
        <v>0</v>
      </c>
      <c r="E26" s="71">
        <f t="shared" si="4"/>
        <v>0</v>
      </c>
      <c r="F26" s="32">
        <f t="shared" si="5"/>
        <v>0</v>
      </c>
      <c r="G26" s="8"/>
      <c r="H26" s="103" t="s">
        <v>69</v>
      </c>
      <c r="I26" s="104">
        <f t="array" ref="I26">SUM(IF($E$116:$E$119&lt;=I$17,1,0)*IF($F$116:$F$119=0,1,0)) + SUM(IF($E$116:$E$119&lt;=I$17,1,0)*IF($F$116:$F$119&gt;I$17,1,0))</f>
        <v>4</v>
      </c>
      <c r="J26" s="104">
        <f t="array" ref="J26">SUM(IF($E$116:$E$119&lt;=J$17,1,0)*IF($F$116:$F$119=0,1,0)) + SUM(IF($E$116:$E$119&lt;=J$17,1,0)*IF($F$116:$F$119&gt;J$17,1,0))</f>
        <v>4</v>
      </c>
      <c r="K26" s="104">
        <f t="array" ref="K26">SUM(IF($E$116:$E$119&lt;=K$17,1,0)*IF($F$116:$F$119=0,1,0)) + SUM(IF($E$116:$E$119&lt;=K$17,1,0)*IF($F$116:$F$119&gt;K$17,1,0))</f>
        <v>4</v>
      </c>
      <c r="L26" s="104">
        <f t="array" ref="L26">SUM(IF($E$116:$E$119&lt;=L$17,1,0)*IF($F$116:$F$119=0,1,0)) + SUM(IF($E$116:$E$119&lt;=L$17,1,0)*IF($F$116:$F$119&gt;L$17,1,0))</f>
        <v>4</v>
      </c>
      <c r="M26" s="104">
        <f t="array" ref="M26">SUM(IF($E$116:$E$119&lt;=M$17,1,0)*IF($F$116:$F$119=0,1,0)) + SUM(IF($E$116:$E$119&lt;=M$17,1,0)*IF($F$116:$F$119&gt;M$17,1,0))</f>
        <v>4</v>
      </c>
      <c r="N26" s="31">
        <f>M26</f>
        <v>4</v>
      </c>
      <c r="O26" s="105"/>
      <c r="P26" s="99"/>
      <c r="Q26"/>
      <c r="R26" s="41">
        <f>COLUMN(L$120)</f>
        <v>12</v>
      </c>
      <c r="S26"/>
      <c r="T26"/>
      <c r="U26"/>
    </row>
    <row r="27" spans="1:21" s="2" customFormat="1" ht="12" thickBot="1" x14ac:dyDescent="0.25">
      <c r="A27" s="24" t="str">
        <f t="shared" si="1"/>
        <v>Full time proportion accrued</v>
      </c>
      <c r="B27" s="25"/>
      <c r="C27" s="32">
        <f t="shared" si="2"/>
        <v>0</v>
      </c>
      <c r="D27" s="72">
        <f t="shared" si="3"/>
        <v>0</v>
      </c>
      <c r="E27" s="72">
        <f t="shared" si="4"/>
        <v>0</v>
      </c>
      <c r="F27" s="34">
        <f t="shared" si="5"/>
        <v>0</v>
      </c>
      <c r="G27" s="8"/>
      <c r="H27" s="108" t="s">
        <v>70</v>
      </c>
      <c r="I27" s="109">
        <f>(I26+I18)/2</f>
        <v>4</v>
      </c>
      <c r="J27" s="109">
        <f>(J26+J18)/2</f>
        <v>4</v>
      </c>
      <c r="K27" s="109">
        <f>(K26+K18)/2</f>
        <v>4</v>
      </c>
      <c r="L27" s="109">
        <f>(L26+L18)/2</f>
        <v>4</v>
      </c>
      <c r="M27" s="109">
        <f>(M26+M18)/2</f>
        <v>4</v>
      </c>
      <c r="N27" s="110">
        <f>SUM(I27:M27)</f>
        <v>20</v>
      </c>
      <c r="O27" s="111"/>
      <c r="P27"/>
      <c r="Q27"/>
      <c r="R27" s="41">
        <f>COLUMN(N$120)</f>
        <v>14</v>
      </c>
      <c r="S27"/>
      <c r="T27"/>
      <c r="U27"/>
    </row>
    <row r="28" spans="1:21" s="2" customFormat="1" ht="11.25" x14ac:dyDescent="0.2">
      <c r="A28" s="24" t="str">
        <f t="shared" si="1"/>
        <v>Last accrual date</v>
      </c>
      <c r="B28" s="25"/>
      <c r="C28" s="32">
        <f t="shared" si="2"/>
        <v>0</v>
      </c>
      <c r="D28" s="72">
        <f t="shared" si="3"/>
        <v>0</v>
      </c>
      <c r="E28" s="72">
        <f t="shared" si="4"/>
        <v>0</v>
      </c>
      <c r="F28" s="34">
        <f t="shared" si="5"/>
        <v>0</v>
      </c>
      <c r="G28" s="8"/>
      <c r="H28" s="28"/>
      <c r="I28" s="28"/>
      <c r="J28" s="28"/>
      <c r="K28" s="28"/>
      <c r="L28" s="28"/>
      <c r="M28" s="28"/>
      <c r="N28" s="28"/>
      <c r="O28" s="28"/>
      <c r="P28"/>
      <c r="Q28"/>
      <c r="R28" s="41">
        <f>COLUMN(P$120)</f>
        <v>16</v>
      </c>
      <c r="S28"/>
      <c r="T28"/>
      <c r="U28"/>
    </row>
    <row r="29" spans="1:21" s="2" customFormat="1" ht="11.25" x14ac:dyDescent="0.2">
      <c r="A29" s="43" t="str">
        <f>R114</f>
        <v>Entitlement years before FTE adjustment</v>
      </c>
      <c r="B29" s="25"/>
      <c r="C29" s="34"/>
      <c r="D29" s="72"/>
      <c r="E29" s="72"/>
      <c r="F29" s="34"/>
      <c r="G29" s="8"/>
      <c r="H29"/>
      <c r="I29" s="81" t="str">
        <f t="shared" ref="I29:N29" si="6">IF(I18+I19-SUM(I20:I24) = I26,"ok","Problem")</f>
        <v>ok</v>
      </c>
      <c r="J29" s="81" t="str">
        <f t="shared" si="6"/>
        <v>ok</v>
      </c>
      <c r="K29" s="81" t="str">
        <f t="shared" si="6"/>
        <v>ok</v>
      </c>
      <c r="L29" s="81" t="str">
        <f t="shared" si="6"/>
        <v>ok</v>
      </c>
      <c r="M29" s="81" t="str">
        <f t="shared" si="6"/>
        <v>ok</v>
      </c>
      <c r="N29" s="81" t="str">
        <f t="shared" si="6"/>
        <v>ok</v>
      </c>
      <c r="O29"/>
      <c r="P29"/>
      <c r="Q29"/>
      <c r="R29" s="41"/>
      <c r="S29"/>
      <c r="T29"/>
      <c r="U29"/>
    </row>
    <row r="30" spans="1:21" s="2" customFormat="1" ht="11.25" x14ac:dyDescent="0.2">
      <c r="A30" s="24" t="str">
        <f>INDEX(HeaderRow,$R30)</f>
        <v>Preconditional LSL</v>
      </c>
      <c r="B30" s="25"/>
      <c r="C30" s="33">
        <f>INDEX(LiveAllRow,$R30)</f>
        <v>0</v>
      </c>
      <c r="D30" s="55">
        <f>INDEX(LiveMinRow,$R30)</f>
        <v>0</v>
      </c>
      <c r="E30" s="55">
        <f>INDEX(LiveMaxRow,$R30)</f>
        <v>0</v>
      </c>
      <c r="F30" s="33">
        <f>INDEX(LiveAvRow,$R30)</f>
        <v>0</v>
      </c>
      <c r="G30" s="8"/>
      <c r="H30"/>
      <c r="J30"/>
      <c r="K30"/>
      <c r="L30"/>
      <c r="M30"/>
      <c r="N30"/>
      <c r="O30"/>
      <c r="P30"/>
      <c r="Q30"/>
      <c r="R30" s="41">
        <f>COLUMN(R$120)</f>
        <v>18</v>
      </c>
      <c r="S30"/>
      <c r="T30"/>
      <c r="U30"/>
    </row>
    <row r="31" spans="1:21" s="2" customFormat="1" ht="11.25" x14ac:dyDescent="0.2">
      <c r="A31" s="24" t="str">
        <f>INDEX(HeaderRow,$R31)</f>
        <v>Vested LSL</v>
      </c>
      <c r="B31" s="26"/>
      <c r="C31" s="33">
        <f>INDEX(LiveAllRow,$R31)</f>
        <v>0</v>
      </c>
      <c r="D31" s="55">
        <f>INDEX(LiveMinRow,$R31)</f>
        <v>0</v>
      </c>
      <c r="E31" s="55">
        <f>INDEX(LiveMaxRow,$R31)</f>
        <v>0</v>
      </c>
      <c r="F31" s="33">
        <f>INDEX(LiveAvRow,$R31)</f>
        <v>0</v>
      </c>
      <c r="G31" s="8"/>
      <c r="H31"/>
      <c r="J31"/>
      <c r="K31"/>
      <c r="L31"/>
      <c r="M31"/>
      <c r="N31"/>
      <c r="O31"/>
      <c r="P31"/>
      <c r="Q31"/>
      <c r="R31" s="41">
        <f>COLUMN(S$120)</f>
        <v>19</v>
      </c>
      <c r="S31"/>
      <c r="T31"/>
      <c r="U31"/>
    </row>
    <row r="32" spans="1:21" s="2" customFormat="1" ht="11.25" x14ac:dyDescent="0.2">
      <c r="A32" s="24" t="str">
        <f>INDEX(HeaderRow,$R32)</f>
        <v>Conditional LSL</v>
      </c>
      <c r="B32" s="25"/>
      <c r="C32" s="33">
        <f>INDEX(LiveAllRow,$R32)</f>
        <v>0</v>
      </c>
      <c r="D32" s="55">
        <f>INDEX(LiveMinRow,$R32)</f>
        <v>0</v>
      </c>
      <c r="E32" s="55">
        <f>INDEX(LiveMaxRow,$R32)</f>
        <v>0</v>
      </c>
      <c r="F32" s="33">
        <f>INDEX(LiveAvRow,$R32)</f>
        <v>0</v>
      </c>
      <c r="G32" s="8"/>
      <c r="H32"/>
      <c r="J32"/>
      <c r="K32"/>
      <c r="L32"/>
      <c r="M32"/>
      <c r="N32"/>
      <c r="O32"/>
      <c r="P32"/>
      <c r="Q32"/>
      <c r="R32" s="41">
        <f>COLUMN(T$120)</f>
        <v>20</v>
      </c>
      <c r="S32"/>
      <c r="T32"/>
      <c r="U32"/>
    </row>
    <row r="33" spans="1:32" s="2" customFormat="1" ht="11.25" x14ac:dyDescent="0.2">
      <c r="A33" s="24" t="str">
        <f>INDEX(HeaderRow,$R33)</f>
        <v>Face value</v>
      </c>
      <c r="B33" s="25"/>
      <c r="C33" s="32">
        <f>INDEX(LiveAllRow,$R33)</f>
        <v>0</v>
      </c>
      <c r="D33" s="71">
        <f>INDEX(LiveMinRow,$R33)</f>
        <v>0</v>
      </c>
      <c r="E33" s="71">
        <f>INDEX(LiveMaxRow,$R33)</f>
        <v>0</v>
      </c>
      <c r="F33" s="32">
        <f>INDEX(LiveAvRow,$R33)</f>
        <v>0</v>
      </c>
      <c r="G33" s="8"/>
      <c r="H33"/>
      <c r="J33"/>
      <c r="K33"/>
      <c r="L33"/>
      <c r="M33"/>
      <c r="N33"/>
      <c r="O33"/>
      <c r="P33"/>
      <c r="Q33"/>
      <c r="R33" s="41">
        <f>COLUMN(AK$120)</f>
        <v>37</v>
      </c>
      <c r="S33"/>
      <c r="T33"/>
      <c r="U33"/>
    </row>
    <row r="34" spans="1:32" s="2" customFormat="1" ht="11.25" x14ac:dyDescent="0.2">
      <c r="A34" s="24" t="str">
        <f>INDEX(HeaderRow,$R34)</f>
        <v>On cost proportion LSL</v>
      </c>
      <c r="B34" s="25"/>
      <c r="C34" s="33">
        <f>INDEX(LiveAllRow,$R34)</f>
        <v>0</v>
      </c>
      <c r="D34" s="72">
        <f>INDEX(LiveMinRow,$R34)</f>
        <v>0</v>
      </c>
      <c r="E34" s="72">
        <f>INDEX(LiveMaxRow,$R34)</f>
        <v>0</v>
      </c>
      <c r="F34" s="34">
        <f>INDEX(LiveAvRow,$R34)</f>
        <v>0</v>
      </c>
      <c r="G34" s="8"/>
      <c r="H34"/>
      <c r="J34"/>
      <c r="K34"/>
      <c r="L34"/>
      <c r="M34"/>
      <c r="N34"/>
      <c r="O34"/>
      <c r="P34"/>
      <c r="Q34"/>
      <c r="R34" s="41">
        <f>COLUMN(AA$120)</f>
        <v>27</v>
      </c>
      <c r="S34"/>
      <c r="T34"/>
      <c r="U34"/>
    </row>
    <row r="35" spans="1:32" s="2" customFormat="1" ht="11.25" x14ac:dyDescent="0.2">
      <c r="A35" s="24" t="str">
        <f>"LAST YEAR "&amp; UPPER(TEXT(LastYear,"MMM YYYY"))</f>
        <v>LAST YEAR JUN 2024</v>
      </c>
      <c r="B35" s="25"/>
      <c r="C35" s="33"/>
      <c r="D35" s="55"/>
      <c r="E35" s="55"/>
      <c r="F35" s="33"/>
      <c r="G35" s="8"/>
      <c r="H35"/>
      <c r="J35"/>
      <c r="K35"/>
      <c r="L35"/>
      <c r="M35"/>
      <c r="N35"/>
      <c r="O35"/>
      <c r="P35"/>
      <c r="Q35"/>
      <c r="R35" s="41"/>
      <c r="S35"/>
      <c r="T35"/>
      <c r="U35"/>
    </row>
    <row r="36" spans="1:32" s="2" customFormat="1" ht="11.25" x14ac:dyDescent="0.2">
      <c r="A36" s="24" t="s">
        <v>46</v>
      </c>
      <c r="B36" s="25"/>
      <c r="C36" s="32" t="e">
        <f>INDEX(LiveAllRow,$R36)</f>
        <v>#REF!</v>
      </c>
      <c r="D36" s="68"/>
      <c r="E36" s="63"/>
      <c r="F36" s="33">
        <f>AN$128</f>
        <v>124.5</v>
      </c>
      <c r="G36" s="8"/>
      <c r="H36"/>
      <c r="J36"/>
      <c r="K36"/>
      <c r="L36"/>
      <c r="M36"/>
      <c r="N36"/>
      <c r="O36"/>
      <c r="P36"/>
      <c r="Q36"/>
      <c r="R36" s="41" t="e">
        <f>COLUMN(#REF!)</f>
        <v>#REF!</v>
      </c>
      <c r="S36"/>
      <c r="T36"/>
      <c r="U36"/>
    </row>
    <row r="37" spans="1:32" s="2" customFormat="1" ht="11.25" x14ac:dyDescent="0.2">
      <c r="A37" s="24" t="s">
        <v>19</v>
      </c>
      <c r="B37" s="25"/>
      <c r="C37" s="32"/>
      <c r="D37" s="68"/>
      <c r="E37" s="63"/>
      <c r="F37" s="34">
        <f>AN$129</f>
        <v>0</v>
      </c>
      <c r="G37" s="8"/>
      <c r="H37"/>
      <c r="J37"/>
      <c r="K37"/>
      <c r="L37"/>
      <c r="M37"/>
      <c r="N37"/>
      <c r="O37"/>
      <c r="P37"/>
      <c r="Q37"/>
      <c r="R37" s="41"/>
      <c r="S37"/>
      <c r="T37"/>
      <c r="U37"/>
    </row>
    <row r="38" spans="1:32" s="2" customFormat="1" ht="11.25" x14ac:dyDescent="0.2">
      <c r="A38" s="24" t="str">
        <f>INDEX(HeaderRow,$R38)</f>
        <v>Salary (Full time)</v>
      </c>
      <c r="B38" s="25"/>
      <c r="C38" s="32">
        <f>INDEX(LiveAllRow,$R38)</f>
        <v>0</v>
      </c>
      <c r="D38" s="71">
        <f>INDEX(LiveMinRow,$R38)</f>
        <v>0</v>
      </c>
      <c r="E38" s="71">
        <f>INDEX(LiveMaxRow,$R38)</f>
        <v>0</v>
      </c>
      <c r="F38" s="32">
        <f>INDEX(LiveAvRow,$R38)</f>
        <v>0</v>
      </c>
      <c r="G38" s="8"/>
      <c r="H38"/>
      <c r="J38"/>
      <c r="K38"/>
      <c r="L38" s="1"/>
      <c r="M38" s="1"/>
      <c r="N38" s="1"/>
      <c r="O38" s="1"/>
      <c r="P38" s="1"/>
      <c r="Q38" s="1"/>
      <c r="R38" s="41">
        <f>COLUMN(AB$120)</f>
        <v>28</v>
      </c>
      <c r="S38" s="1"/>
      <c r="T38" s="1"/>
    </row>
    <row r="39" spans="1:32" s="2" customFormat="1" ht="11.25" x14ac:dyDescent="0.2">
      <c r="A39" s="24" t="str">
        <f>INDEX(HeaderRow,$R39)</f>
        <v>Full time proportion accrued</v>
      </c>
      <c r="B39" s="25"/>
      <c r="C39" s="32">
        <f>INDEX(LiveAllRow,$R39)</f>
        <v>0</v>
      </c>
      <c r="D39" s="72">
        <f>INDEX(LiveMinRow,$R39)</f>
        <v>0</v>
      </c>
      <c r="E39" s="72">
        <f>INDEX(LiveMaxRow,$R39)</f>
        <v>0</v>
      </c>
      <c r="F39" s="34">
        <f>INDEX(LiveAvRow,$R39)</f>
        <v>0</v>
      </c>
      <c r="G39" s="8"/>
      <c r="H39"/>
      <c r="J39"/>
      <c r="K39"/>
      <c r="L39" s="1"/>
      <c r="M39" s="1"/>
      <c r="N39" s="1"/>
      <c r="O39" s="1"/>
      <c r="P39" s="1"/>
      <c r="Q39" s="1"/>
      <c r="R39" s="41">
        <f>COLUMN(AC$120)</f>
        <v>29</v>
      </c>
      <c r="S39" s="1"/>
      <c r="T39" s="1"/>
    </row>
    <row r="40" spans="1:32" s="2" customFormat="1" ht="11.25" x14ac:dyDescent="0.2">
      <c r="A40" s="24" t="str">
        <f>INDEX(HeaderRow,$R40)</f>
        <v>Full time proportion accruing</v>
      </c>
      <c r="B40" s="25"/>
      <c r="C40" s="32">
        <f>INDEX(LiveAllRow,$R40)</f>
        <v>0</v>
      </c>
      <c r="D40" s="72">
        <f>INDEX(LiveMinRow,$R40)</f>
        <v>0</v>
      </c>
      <c r="E40" s="72">
        <f>INDEX(LiveMaxRow,$R40)</f>
        <v>0</v>
      </c>
      <c r="F40" s="34">
        <f>INDEX(LiveAvRow,$R40)</f>
        <v>0</v>
      </c>
      <c r="G40" s="8"/>
      <c r="H40"/>
      <c r="J40"/>
      <c r="K40"/>
      <c r="L40" s="1"/>
      <c r="M40" s="1"/>
      <c r="N40" s="1"/>
      <c r="O40" s="1"/>
      <c r="P40" s="1"/>
      <c r="Q40" s="1"/>
      <c r="R40" s="41">
        <f>COLUMN(AD$120)</f>
        <v>30</v>
      </c>
      <c r="S40" s="1"/>
      <c r="T40" s="1"/>
    </row>
    <row r="41" spans="1:32" s="2" customFormat="1" ht="11.25" x14ac:dyDescent="0.2">
      <c r="A41" s="43" t="str">
        <f>A29</f>
        <v>Entitlement years before FTE adjustment</v>
      </c>
      <c r="B41" s="25"/>
      <c r="C41" s="34"/>
      <c r="D41" s="72"/>
      <c r="E41" s="72"/>
      <c r="F41" s="34"/>
      <c r="G41" s="8"/>
      <c r="H41"/>
      <c r="J41"/>
      <c r="K41"/>
      <c r="L41" s="1"/>
      <c r="M41" s="1"/>
      <c r="N41" s="1"/>
      <c r="O41" s="1"/>
      <c r="P41" s="1"/>
      <c r="Q41" s="1"/>
      <c r="R41" s="41"/>
      <c r="S41" s="1"/>
      <c r="T41" s="1"/>
    </row>
    <row r="42" spans="1:32" s="2" customFormat="1" ht="11.25" x14ac:dyDescent="0.2">
      <c r="A42" s="24" t="str">
        <f>INDEX(HeaderRow,$R42)</f>
        <v>Preconditional</v>
      </c>
      <c r="B42" s="25"/>
      <c r="C42" s="33">
        <f>INDEX(LiveAllRow,$R42)</f>
        <v>0</v>
      </c>
      <c r="D42" s="55">
        <f>INDEX(LiveMinRow,$R42)</f>
        <v>0</v>
      </c>
      <c r="E42" s="55">
        <f>INDEX(LiveMaxRow,$R42)</f>
        <v>0</v>
      </c>
      <c r="F42" s="33">
        <f>INDEX(LiveAvRow,$R42)</f>
        <v>0</v>
      </c>
      <c r="G42" s="8"/>
      <c r="H42"/>
      <c r="J42"/>
      <c r="K42"/>
      <c r="L42" s="1"/>
      <c r="M42" s="1"/>
      <c r="N42" s="1"/>
      <c r="O42" s="1"/>
      <c r="P42" s="1"/>
      <c r="Q42" s="1"/>
      <c r="R42" s="41">
        <f>COLUMN(AE$120)</f>
        <v>31</v>
      </c>
      <c r="S42" s="1"/>
      <c r="T42" s="1"/>
    </row>
    <row r="43" spans="1:32" s="2" customFormat="1" ht="11.25" x14ac:dyDescent="0.2">
      <c r="A43" s="24" t="str">
        <f>INDEX(HeaderRow,$R43)</f>
        <v>Unconditional</v>
      </c>
      <c r="B43" s="25"/>
      <c r="C43" s="33">
        <f>INDEX(LiveAllRow,$R43)</f>
        <v>0</v>
      </c>
      <c r="D43" s="55">
        <f>INDEX(LiveMinRow,$R43)</f>
        <v>0</v>
      </c>
      <c r="E43" s="55">
        <f>INDEX(LiveMaxRow,$R43)</f>
        <v>0</v>
      </c>
      <c r="F43" s="33">
        <f>INDEX(LiveAvRow,$R43)</f>
        <v>0</v>
      </c>
      <c r="G43" s="8"/>
      <c r="H43"/>
      <c r="J43"/>
      <c r="K43"/>
      <c r="L43" s="1"/>
      <c r="M43" s="1"/>
      <c r="N43" s="1"/>
      <c r="O43" s="1"/>
      <c r="P43" s="1"/>
      <c r="Q43" s="1"/>
      <c r="R43" s="41">
        <f>COLUMN(AF$120)</f>
        <v>32</v>
      </c>
      <c r="S43" s="1"/>
      <c r="T43" s="1"/>
    </row>
    <row r="44" spans="1:32" s="2" customFormat="1" ht="11.25" x14ac:dyDescent="0.2">
      <c r="A44" s="24" t="str">
        <f>INDEX(HeaderRow,$R44)</f>
        <v>Conditional</v>
      </c>
      <c r="B44" s="25"/>
      <c r="C44" s="33">
        <f>INDEX(LiveAllRow,$R44)</f>
        <v>0</v>
      </c>
      <c r="D44" s="55">
        <f>INDEX(LiveMinRow,$R44)</f>
        <v>0</v>
      </c>
      <c r="E44" s="55">
        <f>INDEX(LiveMaxRow,$R44)</f>
        <v>0</v>
      </c>
      <c r="F44" s="33">
        <f>INDEX(LiveAvRow,$R44)</f>
        <v>0</v>
      </c>
      <c r="G44" s="8"/>
      <c r="H44"/>
      <c r="J44"/>
      <c r="K44"/>
      <c r="L44" s="1"/>
      <c r="M44" s="1"/>
      <c r="N44" s="1"/>
      <c r="O44" s="1"/>
      <c r="P44" s="1"/>
      <c r="Q44" s="1"/>
      <c r="R44" s="41">
        <f>COLUMN(AG$120)</f>
        <v>33</v>
      </c>
      <c r="S44" s="1"/>
      <c r="T44" s="1"/>
    </row>
    <row r="45" spans="1:32" s="2" customFormat="1" ht="12" thickBot="1" x14ac:dyDescent="0.25">
      <c r="A45" s="24" t="str">
        <f>INDEX(HeaderRow,$R45)</f>
        <v>On cost proportion</v>
      </c>
      <c r="B45" s="25"/>
      <c r="C45" s="33">
        <f>INDEX(LiveAllRow,$R45)</f>
        <v>0</v>
      </c>
      <c r="D45" s="72">
        <f>INDEX(LiveMinRow,$R45)</f>
        <v>0</v>
      </c>
      <c r="E45" s="72">
        <f>INDEX(LiveMaxRow,$R45)</f>
        <v>0</v>
      </c>
      <c r="F45" s="34">
        <f>INDEX(LiveAvRow,$R45)</f>
        <v>0</v>
      </c>
      <c r="G45" s="8"/>
      <c r="H45"/>
      <c r="J45"/>
      <c r="K45"/>
      <c r="L45" s="1"/>
      <c r="M45" s="1"/>
      <c r="N45" s="1"/>
      <c r="O45" s="1"/>
      <c r="P45" s="1"/>
      <c r="Q45" s="1"/>
      <c r="R45" s="41">
        <f>COLUMN(AH$120)</f>
        <v>34</v>
      </c>
      <c r="S45" s="1"/>
      <c r="T45" s="1"/>
    </row>
    <row r="46" spans="1:32" x14ac:dyDescent="0.15">
      <c r="A46" s="7"/>
      <c r="B46" s="7"/>
      <c r="C46" s="7"/>
      <c r="D46" s="73"/>
      <c r="E46" s="73"/>
      <c r="F46" s="7"/>
      <c r="G46" s="22"/>
      <c r="H46"/>
      <c r="I46"/>
      <c r="J46"/>
      <c r="K46"/>
      <c r="L46"/>
      <c r="M46"/>
      <c r="N46"/>
      <c r="O46"/>
      <c r="P46"/>
      <c r="Q46"/>
      <c r="R46"/>
      <c r="S46"/>
      <c r="T46"/>
      <c r="U46"/>
      <c r="V46"/>
      <c r="W46"/>
      <c r="X46"/>
      <c r="Y46"/>
      <c r="Z46"/>
      <c r="AA46"/>
      <c r="AB46"/>
      <c r="AC46"/>
      <c r="AD46"/>
      <c r="AE46"/>
      <c r="AF46"/>
    </row>
    <row r="47" spans="1:32" x14ac:dyDescent="0.15">
      <c r="A47"/>
      <c r="B47"/>
      <c r="C47"/>
      <c r="D47" s="63"/>
      <c r="E47" s="63"/>
      <c r="F47"/>
      <c r="G47"/>
      <c r="H47"/>
      <c r="I47"/>
      <c r="J47"/>
      <c r="K47"/>
      <c r="L47"/>
      <c r="M47"/>
      <c r="N47"/>
      <c r="O47"/>
      <c r="P47"/>
      <c r="Q47"/>
      <c r="R47"/>
      <c r="S47"/>
      <c r="T47"/>
      <c r="U47"/>
      <c r="V47"/>
      <c r="W47"/>
      <c r="X47"/>
      <c r="Y47"/>
      <c r="Z47"/>
      <c r="AA47"/>
      <c r="AB47"/>
      <c r="AC47"/>
      <c r="AD47"/>
      <c r="AE47"/>
      <c r="AF47"/>
    </row>
    <row r="48" spans="1:32" x14ac:dyDescent="0.15">
      <c r="A48"/>
      <c r="B48"/>
      <c r="C48"/>
      <c r="D48" s="63"/>
      <c r="E48" s="63"/>
      <c r="F48"/>
      <c r="G48"/>
      <c r="H48"/>
      <c r="I48"/>
      <c r="J48"/>
      <c r="K48"/>
      <c r="L48"/>
      <c r="M48"/>
      <c r="N48"/>
      <c r="O48"/>
      <c r="P48"/>
      <c r="Q48"/>
      <c r="R48"/>
      <c r="S48"/>
      <c r="T48"/>
      <c r="U48"/>
      <c r="V48"/>
      <c r="W48"/>
      <c r="X48"/>
      <c r="Y48"/>
      <c r="Z48"/>
      <c r="AA48"/>
      <c r="AB48"/>
      <c r="AC48"/>
      <c r="AD48"/>
      <c r="AE48"/>
      <c r="AF48"/>
    </row>
    <row r="49" spans="4:5" customFormat="1" x14ac:dyDescent="0.15">
      <c r="D49" s="63"/>
      <c r="E49" s="63"/>
    </row>
    <row r="50" spans="4:5" customFormat="1" x14ac:dyDescent="0.15">
      <c r="D50" s="63"/>
      <c r="E50" s="63"/>
    </row>
    <row r="51" spans="4:5" customFormat="1" x14ac:dyDescent="0.15">
      <c r="D51" s="63"/>
      <c r="E51" s="63"/>
    </row>
    <row r="52" spans="4:5" customFormat="1" x14ac:dyDescent="0.15">
      <c r="D52" s="63"/>
      <c r="E52" s="63"/>
    </row>
    <row r="53" spans="4:5" customFormat="1" x14ac:dyDescent="0.15">
      <c r="D53" s="63"/>
      <c r="E53" s="63"/>
    </row>
    <row r="54" spans="4:5" customFormat="1" x14ac:dyDescent="0.15">
      <c r="D54" s="63"/>
      <c r="E54" s="63"/>
    </row>
    <row r="55" spans="4:5" customFormat="1" x14ac:dyDescent="0.15">
      <c r="D55" s="63"/>
      <c r="E55" s="63"/>
    </row>
    <row r="56" spans="4:5" customFormat="1" x14ac:dyDescent="0.15">
      <c r="D56" s="63"/>
      <c r="E56" s="63"/>
    </row>
    <row r="57" spans="4:5" customFormat="1" x14ac:dyDescent="0.15">
      <c r="D57" s="63"/>
      <c r="E57" s="63"/>
    </row>
    <row r="58" spans="4:5" customFormat="1" x14ac:dyDescent="0.15">
      <c r="D58" s="63"/>
      <c r="E58" s="63"/>
    </row>
    <row r="59" spans="4:5" customFormat="1" x14ac:dyDescent="0.15">
      <c r="D59" s="63"/>
      <c r="E59" s="63"/>
    </row>
    <row r="60" spans="4:5" customFormat="1" x14ac:dyDescent="0.15">
      <c r="D60" s="63"/>
      <c r="E60" s="63"/>
    </row>
    <row r="61" spans="4:5" customFormat="1" x14ac:dyDescent="0.15">
      <c r="D61" s="63"/>
      <c r="E61" s="63"/>
    </row>
    <row r="62" spans="4:5" customFormat="1" x14ac:dyDescent="0.15">
      <c r="D62" s="63"/>
      <c r="E62" s="63"/>
    </row>
    <row r="63" spans="4:5" customFormat="1" x14ac:dyDescent="0.15">
      <c r="D63" s="63"/>
      <c r="E63" s="63"/>
    </row>
    <row r="64" spans="4:5" customFormat="1" x14ac:dyDescent="0.15">
      <c r="D64" s="63"/>
      <c r="E64" s="63"/>
    </row>
    <row r="65" spans="4:5" customFormat="1" x14ac:dyDescent="0.15">
      <c r="D65" s="63"/>
      <c r="E65" s="63"/>
    </row>
    <row r="66" spans="4:5" customFormat="1" x14ac:dyDescent="0.15">
      <c r="D66" s="63"/>
      <c r="E66" s="63"/>
    </row>
    <row r="67" spans="4:5" customFormat="1" x14ac:dyDescent="0.15">
      <c r="D67" s="63"/>
      <c r="E67" s="63"/>
    </row>
    <row r="68" spans="4:5" customFormat="1" x14ac:dyDescent="0.15">
      <c r="D68" s="63"/>
      <c r="E68" s="63"/>
    </row>
    <row r="69" spans="4:5" customFormat="1" x14ac:dyDescent="0.15">
      <c r="D69" s="63"/>
      <c r="E69" s="63"/>
    </row>
    <row r="70" spans="4:5" customFormat="1" x14ac:dyDescent="0.15">
      <c r="D70" s="63"/>
      <c r="E70" s="63"/>
    </row>
    <row r="71" spans="4:5" customFormat="1" x14ac:dyDescent="0.15">
      <c r="D71" s="63"/>
      <c r="E71" s="63"/>
    </row>
    <row r="72" spans="4:5" customFormat="1" x14ac:dyDescent="0.15">
      <c r="D72" s="63"/>
      <c r="E72" s="63"/>
    </row>
    <row r="73" spans="4:5" customFormat="1" x14ac:dyDescent="0.15">
      <c r="D73" s="63"/>
      <c r="E73" s="63"/>
    </row>
    <row r="74" spans="4:5" customFormat="1" x14ac:dyDescent="0.15">
      <c r="D74" s="63"/>
      <c r="E74" s="63"/>
    </row>
    <row r="75" spans="4:5" customFormat="1" x14ac:dyDescent="0.15">
      <c r="D75" s="63"/>
      <c r="E75" s="63"/>
    </row>
    <row r="76" spans="4:5" customFormat="1" x14ac:dyDescent="0.15">
      <c r="D76" s="63"/>
      <c r="E76" s="63"/>
    </row>
    <row r="77" spans="4:5" customFormat="1" x14ac:dyDescent="0.15">
      <c r="D77" s="63"/>
      <c r="E77" s="63"/>
    </row>
    <row r="78" spans="4:5" customFormat="1" x14ac:dyDescent="0.15">
      <c r="D78" s="63"/>
      <c r="E78" s="63"/>
    </row>
    <row r="79" spans="4:5" customFormat="1" x14ac:dyDescent="0.15">
      <c r="D79" s="63"/>
      <c r="E79" s="63"/>
    </row>
    <row r="80" spans="4:5" customFormat="1" x14ac:dyDescent="0.15">
      <c r="D80" s="63"/>
      <c r="E80" s="63"/>
    </row>
    <row r="81" spans="4:5" customFormat="1" x14ac:dyDescent="0.15">
      <c r="D81" s="63"/>
      <c r="E81" s="63"/>
    </row>
    <row r="82" spans="4:5" customFormat="1" x14ac:dyDescent="0.15">
      <c r="D82" s="63"/>
      <c r="E82" s="63"/>
    </row>
    <row r="83" spans="4:5" customFormat="1" x14ac:dyDescent="0.15">
      <c r="D83" s="63"/>
      <c r="E83" s="63"/>
    </row>
    <row r="84" spans="4:5" customFormat="1" x14ac:dyDescent="0.15">
      <c r="D84" s="63"/>
      <c r="E84" s="63"/>
    </row>
    <row r="85" spans="4:5" customFormat="1" x14ac:dyDescent="0.15">
      <c r="D85" s="63"/>
      <c r="E85" s="63"/>
    </row>
    <row r="86" spans="4:5" customFormat="1" x14ac:dyDescent="0.15">
      <c r="D86" s="63"/>
      <c r="E86" s="63"/>
    </row>
    <row r="87" spans="4:5" customFormat="1" x14ac:dyDescent="0.15">
      <c r="D87" s="63"/>
      <c r="E87" s="63"/>
    </row>
    <row r="88" spans="4:5" customFormat="1" x14ac:dyDescent="0.15">
      <c r="D88" s="63"/>
      <c r="E88" s="63"/>
    </row>
    <row r="89" spans="4:5" customFormat="1" x14ac:dyDescent="0.15">
      <c r="D89" s="63"/>
      <c r="E89" s="63"/>
    </row>
    <row r="90" spans="4:5" customFormat="1" x14ac:dyDescent="0.15">
      <c r="D90" s="63"/>
      <c r="E90" s="63"/>
    </row>
    <row r="91" spans="4:5" customFormat="1" x14ac:dyDescent="0.15">
      <c r="D91" s="63"/>
      <c r="E91" s="63"/>
    </row>
    <row r="92" spans="4:5" customFormat="1" x14ac:dyDescent="0.15">
      <c r="D92" s="63"/>
      <c r="E92" s="63"/>
    </row>
    <row r="93" spans="4:5" customFormat="1" x14ac:dyDescent="0.15">
      <c r="D93" s="63"/>
      <c r="E93" s="63"/>
    </row>
    <row r="94" spans="4:5" customFormat="1" x14ac:dyDescent="0.15">
      <c r="D94" s="63"/>
      <c r="E94" s="63"/>
    </row>
    <row r="95" spans="4:5" customFormat="1" x14ac:dyDescent="0.15">
      <c r="D95" s="63"/>
      <c r="E95" s="63"/>
    </row>
    <row r="96" spans="4:5" customFormat="1" x14ac:dyDescent="0.15">
      <c r="D96" s="63"/>
      <c r="E96" s="63"/>
    </row>
    <row r="97" spans="1:43" x14ac:dyDescent="0.15">
      <c r="A97"/>
      <c r="B97"/>
      <c r="C97"/>
      <c r="D97" s="63"/>
      <c r="E97" s="63"/>
      <c r="F97"/>
      <c r="G97"/>
      <c r="H97"/>
      <c r="I97"/>
      <c r="J97"/>
      <c r="K97"/>
      <c r="L97"/>
      <c r="M97"/>
      <c r="N97"/>
      <c r="O97"/>
      <c r="P97"/>
      <c r="Q97"/>
      <c r="R97"/>
      <c r="S97"/>
      <c r="T97"/>
      <c r="U97"/>
      <c r="V97"/>
      <c r="W97"/>
      <c r="X97"/>
      <c r="Y97"/>
      <c r="Z97"/>
      <c r="AA97"/>
      <c r="AB97"/>
      <c r="AC97"/>
      <c r="AD97"/>
      <c r="AE97"/>
      <c r="AF97"/>
    </row>
    <row r="98" spans="1:43" x14ac:dyDescent="0.15">
      <c r="A98"/>
      <c r="B98"/>
      <c r="C98"/>
      <c r="D98" s="63"/>
      <c r="E98" s="63"/>
      <c r="F98"/>
      <c r="G98"/>
      <c r="H98"/>
      <c r="I98"/>
      <c r="J98"/>
      <c r="K98"/>
      <c r="L98"/>
      <c r="M98"/>
      <c r="N98"/>
      <c r="O98"/>
      <c r="P98"/>
      <c r="Q98"/>
      <c r="R98"/>
      <c r="S98"/>
      <c r="T98"/>
      <c r="U98"/>
      <c r="V98"/>
      <c r="W98"/>
      <c r="X98"/>
      <c r="Y98"/>
      <c r="Z98"/>
      <c r="AA98"/>
      <c r="AB98"/>
      <c r="AC98"/>
      <c r="AD98"/>
      <c r="AE98"/>
      <c r="AF98"/>
    </row>
    <row r="99" spans="1:43" x14ac:dyDescent="0.15">
      <c r="A99"/>
      <c r="B99"/>
      <c r="C99"/>
      <c r="D99" s="63"/>
      <c r="E99" s="63"/>
      <c r="F99"/>
      <c r="G99"/>
      <c r="H99"/>
      <c r="I99"/>
      <c r="J99"/>
      <c r="K99"/>
      <c r="L99"/>
      <c r="M99"/>
      <c r="N99"/>
      <c r="O99"/>
      <c r="P99"/>
      <c r="Q99"/>
      <c r="R99"/>
      <c r="S99"/>
      <c r="T99"/>
      <c r="U99"/>
      <c r="V99"/>
      <c r="W99"/>
      <c r="X99"/>
      <c r="Y99"/>
      <c r="Z99"/>
      <c r="AA99"/>
      <c r="AB99"/>
      <c r="AC99"/>
      <c r="AD99"/>
      <c r="AE99"/>
      <c r="AF99"/>
    </row>
    <row r="100" spans="1:43" x14ac:dyDescent="0.15">
      <c r="A100"/>
      <c r="B100"/>
      <c r="C100"/>
      <c r="D100" s="63"/>
      <c r="E100" s="63"/>
      <c r="F100"/>
      <c r="G100"/>
      <c r="H100"/>
      <c r="I100"/>
      <c r="J100"/>
      <c r="K100"/>
      <c r="L100"/>
      <c r="M100"/>
      <c r="N100"/>
      <c r="O100"/>
      <c r="P100"/>
      <c r="Q100"/>
      <c r="R100"/>
      <c r="S100"/>
      <c r="T100"/>
      <c r="U100"/>
      <c r="V100"/>
      <c r="W100"/>
      <c r="X100"/>
      <c r="Y100"/>
      <c r="Z100"/>
      <c r="AA100"/>
      <c r="AB100"/>
      <c r="AC100"/>
      <c r="AD100"/>
      <c r="AE100"/>
      <c r="AF100"/>
    </row>
    <row r="101" spans="1:43" x14ac:dyDescent="0.15">
      <c r="A101"/>
      <c r="B101"/>
      <c r="C101"/>
      <c r="D101" s="63"/>
      <c r="E101" s="63"/>
      <c r="F101"/>
      <c r="G101"/>
      <c r="H101"/>
      <c r="I101"/>
      <c r="J101"/>
      <c r="K101"/>
      <c r="L101"/>
      <c r="M101"/>
      <c r="N101"/>
      <c r="O101"/>
      <c r="P101"/>
      <c r="Q101"/>
      <c r="R101"/>
      <c r="S101"/>
      <c r="T101"/>
      <c r="U101"/>
      <c r="V101"/>
      <c r="W101"/>
      <c r="X101"/>
      <c r="Y101"/>
      <c r="Z101"/>
      <c r="AA101"/>
      <c r="AB101"/>
      <c r="AC101"/>
      <c r="AD101"/>
      <c r="AE101"/>
      <c r="AF101"/>
    </row>
    <row r="102" spans="1:43" x14ac:dyDescent="0.15">
      <c r="A102"/>
      <c r="B102"/>
      <c r="C102"/>
      <c r="D102" s="63"/>
      <c r="E102" s="63"/>
      <c r="F102"/>
      <c r="G102"/>
      <c r="H102"/>
      <c r="I102"/>
      <c r="J102"/>
      <c r="K102"/>
      <c r="L102"/>
      <c r="M102"/>
      <c r="N102"/>
      <c r="O102"/>
      <c r="P102"/>
      <c r="Q102"/>
      <c r="R102"/>
      <c r="S102"/>
      <c r="T102"/>
      <c r="U102"/>
      <c r="V102"/>
      <c r="W102"/>
      <c r="X102"/>
      <c r="Y102"/>
      <c r="Z102"/>
      <c r="AA102"/>
      <c r="AB102"/>
      <c r="AC102"/>
      <c r="AD102"/>
      <c r="AE102"/>
      <c r="AF102"/>
    </row>
    <row r="103" spans="1:43" x14ac:dyDescent="0.15">
      <c r="A103"/>
      <c r="B103"/>
      <c r="C103"/>
      <c r="D103" s="63"/>
      <c r="E103" s="63"/>
      <c r="F103"/>
      <c r="G103"/>
      <c r="H103"/>
      <c r="I103"/>
      <c r="J103"/>
      <c r="K103"/>
      <c r="L103"/>
      <c r="M103"/>
      <c r="N103"/>
      <c r="O103"/>
      <c r="P103"/>
      <c r="Q103"/>
      <c r="R103"/>
      <c r="S103"/>
      <c r="T103"/>
      <c r="U103"/>
      <c r="V103"/>
      <c r="W103"/>
      <c r="X103"/>
      <c r="Y103"/>
      <c r="Z103"/>
      <c r="AA103"/>
      <c r="AB103"/>
      <c r="AC103"/>
      <c r="AD103"/>
      <c r="AE103"/>
      <c r="AF103"/>
    </row>
    <row r="104" spans="1:43" x14ac:dyDescent="0.15">
      <c r="A104"/>
      <c r="B104"/>
      <c r="C104"/>
      <c r="D104" s="63"/>
      <c r="E104" s="63"/>
      <c r="F104"/>
      <c r="G104"/>
      <c r="H104"/>
      <c r="I104"/>
      <c r="J104"/>
      <c r="K104"/>
      <c r="L104"/>
      <c r="M104"/>
      <c r="N104"/>
      <c r="O104"/>
      <c r="P104"/>
      <c r="Q104"/>
      <c r="R104"/>
      <c r="S104"/>
      <c r="T104"/>
      <c r="U104"/>
      <c r="V104"/>
      <c r="W104"/>
      <c r="X104"/>
      <c r="Y104"/>
      <c r="Z104"/>
      <c r="AA104"/>
      <c r="AB104"/>
      <c r="AC104"/>
      <c r="AD104"/>
      <c r="AE104"/>
      <c r="AF104"/>
    </row>
    <row r="105" spans="1:43" x14ac:dyDescent="0.15">
      <c r="A105"/>
      <c r="B105"/>
      <c r="C105"/>
      <c r="D105" s="63"/>
      <c r="E105" s="63"/>
      <c r="F105"/>
      <c r="G105"/>
      <c r="H105"/>
      <c r="I105"/>
      <c r="J105"/>
      <c r="K105"/>
      <c r="L105"/>
      <c r="M105"/>
      <c r="N105"/>
      <c r="O105"/>
      <c r="P105"/>
      <c r="Q105"/>
      <c r="R105"/>
      <c r="S105"/>
      <c r="T105"/>
      <c r="U105"/>
      <c r="V105"/>
      <c r="W105"/>
      <c r="X105"/>
      <c r="Y105"/>
      <c r="Z105"/>
      <c r="AA105"/>
      <c r="AB105"/>
      <c r="AC105"/>
      <c r="AD105"/>
      <c r="AE105"/>
      <c r="AF105"/>
    </row>
    <row r="106" spans="1:43" x14ac:dyDescent="0.15">
      <c r="A106"/>
      <c r="B106"/>
      <c r="C106"/>
      <c r="D106" s="63"/>
      <c r="E106" s="63"/>
      <c r="F106"/>
      <c r="G106"/>
      <c r="H106"/>
      <c r="I106"/>
      <c r="J106"/>
      <c r="K106"/>
      <c r="L106"/>
      <c r="M106"/>
      <c r="N106"/>
      <c r="O106"/>
      <c r="P106"/>
      <c r="Q106"/>
      <c r="S106"/>
      <c r="T106"/>
      <c r="U106"/>
      <c r="V106"/>
      <c r="W106"/>
      <c r="X106"/>
      <c r="Y106"/>
      <c r="Z106"/>
      <c r="AA106"/>
      <c r="AB106"/>
      <c r="AC106"/>
      <c r="AD106"/>
      <c r="AE106"/>
      <c r="AF106"/>
    </row>
    <row r="107" spans="1:43" x14ac:dyDescent="0.15">
      <c r="A107"/>
      <c r="B107"/>
      <c r="C107"/>
      <c r="D107" s="63"/>
      <c r="E107" s="63"/>
      <c r="F107"/>
      <c r="G107"/>
      <c r="H107"/>
      <c r="I107"/>
      <c r="J107"/>
      <c r="K107"/>
      <c r="L107"/>
      <c r="M107"/>
      <c r="N107"/>
      <c r="O107"/>
      <c r="P107"/>
      <c r="Q107"/>
      <c r="R107"/>
      <c r="S107"/>
      <c r="T107"/>
      <c r="U107"/>
      <c r="V107"/>
      <c r="W107"/>
      <c r="X107"/>
      <c r="Y107"/>
      <c r="Z107"/>
      <c r="AA107"/>
      <c r="AB107"/>
      <c r="AC107"/>
      <c r="AD107"/>
      <c r="AE107"/>
      <c r="AF107"/>
    </row>
    <row r="108" spans="1:43" x14ac:dyDescent="0.15">
      <c r="A108"/>
      <c r="B108"/>
      <c r="C108"/>
      <c r="D108" s="63"/>
      <c r="E108" s="63"/>
      <c r="F108"/>
      <c r="G108"/>
      <c r="H108"/>
      <c r="I108"/>
      <c r="J108"/>
      <c r="K108"/>
      <c r="L108"/>
      <c r="M108"/>
      <c r="N108"/>
      <c r="O108"/>
      <c r="P108"/>
      <c r="Q108"/>
      <c r="R108"/>
      <c r="S108"/>
      <c r="T108"/>
      <c r="U108"/>
      <c r="V108"/>
      <c r="W108"/>
      <c r="X108"/>
      <c r="Y108"/>
      <c r="Z108"/>
      <c r="AA108"/>
      <c r="AB108"/>
      <c r="AC108"/>
      <c r="AD108"/>
      <c r="AE108"/>
      <c r="AF108"/>
    </row>
    <row r="109" spans="1:43" x14ac:dyDescent="0.15">
      <c r="A109"/>
      <c r="B109"/>
      <c r="C109"/>
      <c r="D109" s="63"/>
      <c r="E109" s="63"/>
      <c r="F109"/>
      <c r="G109"/>
      <c r="H109"/>
      <c r="I109"/>
      <c r="J109"/>
      <c r="K109"/>
      <c r="L109"/>
      <c r="M109"/>
      <c r="N109"/>
      <c r="O109"/>
      <c r="P109"/>
      <c r="Q109"/>
      <c r="R109"/>
      <c r="S109"/>
      <c r="T109"/>
      <c r="U109"/>
      <c r="V109"/>
      <c r="W109"/>
      <c r="X109"/>
      <c r="Y109"/>
      <c r="Z109"/>
      <c r="AA109"/>
      <c r="AB109"/>
      <c r="AC109"/>
      <c r="AD109"/>
      <c r="AE109"/>
      <c r="AF109"/>
    </row>
    <row r="110" spans="1:43" x14ac:dyDescent="0.15">
      <c r="A110"/>
      <c r="B110"/>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c r="AA110"/>
      <c r="AB110"/>
      <c r="AC110"/>
      <c r="AD110"/>
      <c r="AE110"/>
      <c r="AF110"/>
    </row>
    <row r="111" spans="1:43" s="2" customFormat="1" ht="11.25" x14ac:dyDescent="0.2">
      <c r="A111"/>
      <c r="B111"/>
      <c r="C111"/>
      <c r="D111"/>
      <c r="E111"/>
      <c r="F111"/>
      <c r="G111"/>
      <c r="H111"/>
      <c r="I111"/>
      <c r="J111"/>
      <c r="K111"/>
      <c r="L111"/>
      <c r="M111"/>
      <c r="N111"/>
      <c r="O111"/>
      <c r="P111"/>
      <c r="Q111"/>
      <c r="R111"/>
      <c r="S111"/>
      <c r="T111"/>
      <c r="U111"/>
      <c r="V111"/>
      <c r="W111"/>
      <c r="X111"/>
      <c r="Y111"/>
      <c r="Z111"/>
      <c r="AA111"/>
      <c r="AB111"/>
      <c r="AC111"/>
      <c r="AD111"/>
      <c r="AE111" s="1"/>
      <c r="AF111" s="1"/>
      <c r="AG111" s="1"/>
      <c r="AH111" s="1"/>
      <c r="AI111" s="1"/>
      <c r="AJ111" s="1"/>
      <c r="AK111" s="1"/>
      <c r="AL111" s="1"/>
      <c r="AM111" s="1"/>
      <c r="AN111" s="1"/>
      <c r="AO111" s="1"/>
      <c r="AP111"/>
      <c r="AQ111"/>
    </row>
    <row r="112" spans="1:43" ht="9.75" thickBot="1" x14ac:dyDescent="0.2">
      <c r="A112" s="29"/>
      <c r="B112" s="29"/>
      <c r="C112" s="29"/>
      <c r="D112" s="74"/>
      <c r="E112" s="74"/>
      <c r="F112" s="29"/>
      <c r="G112" s="29"/>
      <c r="H112" s="29"/>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row>
    <row r="113" spans="1:56" x14ac:dyDescent="0.15">
      <c r="A113" s="11"/>
      <c r="B113" s="20"/>
      <c r="C113" s="20"/>
      <c r="D113" s="20"/>
      <c r="E113" s="20"/>
      <c r="F113" s="20"/>
      <c r="G113" s="20"/>
      <c r="H113" s="20"/>
      <c r="I113" s="20"/>
      <c r="J113" s="20"/>
      <c r="K113" s="20"/>
      <c r="L113" s="20"/>
      <c r="M113" s="20"/>
      <c r="N113" s="51" t="s">
        <v>37</v>
      </c>
      <c r="O113" s="51"/>
      <c r="P113" s="51"/>
      <c r="Q113" s="51"/>
      <c r="R113" s="51"/>
      <c r="S113" s="51"/>
      <c r="T113" s="51"/>
      <c r="U113" s="51"/>
      <c r="V113" s="51"/>
      <c r="W113" s="51"/>
      <c r="X113" s="51"/>
      <c r="Y113" s="51"/>
      <c r="Z113" s="51"/>
      <c r="AA113" s="51"/>
      <c r="AB113" s="51"/>
      <c r="AC113" s="51" t="s">
        <v>38</v>
      </c>
      <c r="AD113" s="51"/>
      <c r="AE113" s="51"/>
      <c r="AF113" s="51"/>
      <c r="AG113" s="51"/>
      <c r="AH113" s="51"/>
      <c r="AI113" s="52" t="s">
        <v>39</v>
      </c>
      <c r="AJ113" s="52"/>
      <c r="AK113" s="52"/>
      <c r="AL113" s="52"/>
      <c r="AM113" s="52"/>
      <c r="AN113" s="52"/>
      <c r="AO113" s="52"/>
      <c r="AP113" s="10"/>
    </row>
    <row r="114" spans="1:56" ht="18" x14ac:dyDescent="0.15">
      <c r="A114" s="11"/>
      <c r="B114" s="11"/>
      <c r="C114" s="11"/>
      <c r="D114" s="75"/>
      <c r="E114" s="75"/>
      <c r="F114" s="11"/>
      <c r="G114" s="11"/>
      <c r="H114" s="11"/>
      <c r="I114" s="11"/>
      <c r="J114" s="11"/>
      <c r="K114" s="11"/>
      <c r="L114" s="11"/>
      <c r="M114" s="11"/>
      <c r="N114" s="11"/>
      <c r="O114" s="11"/>
      <c r="P114" s="11"/>
      <c r="Q114" s="11"/>
      <c r="R114" s="126" t="s">
        <v>36</v>
      </c>
      <c r="S114" s="127"/>
      <c r="T114" s="127"/>
      <c r="U114" s="18"/>
      <c r="V114" s="18"/>
      <c r="W114" s="18"/>
      <c r="X114" s="18"/>
      <c r="Y114" s="18"/>
      <c r="Z114" s="18"/>
      <c r="AA114" s="11"/>
      <c r="AB114" s="11"/>
      <c r="AC114" s="11"/>
      <c r="AD114" s="11"/>
      <c r="AE114" s="42" t="s">
        <v>36</v>
      </c>
      <c r="AF114" s="18"/>
      <c r="AG114" s="18"/>
      <c r="AH114" s="11"/>
      <c r="AI114" s="42" t="s">
        <v>40</v>
      </c>
      <c r="AJ114" s="42"/>
      <c r="AK114" s="42"/>
      <c r="AL114" s="42"/>
      <c r="AM114" s="42"/>
      <c r="AN114" s="42" t="s">
        <v>41</v>
      </c>
      <c r="AO114" s="42"/>
      <c r="AP114" s="10"/>
    </row>
    <row r="115" spans="1:56" ht="63" x14ac:dyDescent="0.15">
      <c r="A115" s="12" t="s">
        <v>3</v>
      </c>
      <c r="B115" s="12" t="s">
        <v>2</v>
      </c>
      <c r="C115" s="12" t="s">
        <v>4</v>
      </c>
      <c r="D115" s="75" t="s">
        <v>5</v>
      </c>
      <c r="E115" s="75" t="s">
        <v>6</v>
      </c>
      <c r="F115" s="12" t="s">
        <v>23</v>
      </c>
      <c r="G115" s="12" t="s">
        <v>22</v>
      </c>
      <c r="H115" s="12" t="s">
        <v>7</v>
      </c>
      <c r="I115" s="12" t="s">
        <v>8</v>
      </c>
      <c r="J115" s="12" t="s">
        <v>9</v>
      </c>
      <c r="K115" s="12" t="s">
        <v>10</v>
      </c>
      <c r="L115" s="12" t="s">
        <v>78</v>
      </c>
      <c r="M115" s="12" t="s">
        <v>79</v>
      </c>
      <c r="N115" s="12" t="s">
        <v>26</v>
      </c>
      <c r="O115" s="12" t="s">
        <v>27</v>
      </c>
      <c r="P115" s="91" t="s">
        <v>80</v>
      </c>
      <c r="Q115" s="91" t="s">
        <v>81</v>
      </c>
      <c r="R115" s="12" t="s">
        <v>82</v>
      </c>
      <c r="S115" s="12" t="s">
        <v>83</v>
      </c>
      <c r="T115" s="12" t="s">
        <v>84</v>
      </c>
      <c r="U115" s="12" t="s">
        <v>85</v>
      </c>
      <c r="V115" s="12" t="s">
        <v>86</v>
      </c>
      <c r="W115" s="12" t="s">
        <v>87</v>
      </c>
      <c r="X115" s="12" t="s">
        <v>89</v>
      </c>
      <c r="Y115" s="12" t="s">
        <v>90</v>
      </c>
      <c r="Z115" s="12" t="s">
        <v>91</v>
      </c>
      <c r="AA115" s="12" t="s">
        <v>88</v>
      </c>
      <c r="AB115" s="12" t="s">
        <v>25</v>
      </c>
      <c r="AC115" s="12" t="s">
        <v>26</v>
      </c>
      <c r="AD115" s="12" t="s">
        <v>27</v>
      </c>
      <c r="AE115" s="12" t="s">
        <v>15</v>
      </c>
      <c r="AF115" s="12" t="s">
        <v>16</v>
      </c>
      <c r="AG115" s="12" t="s">
        <v>17</v>
      </c>
      <c r="AH115" s="12" t="s">
        <v>18</v>
      </c>
      <c r="AI115" s="12" t="s">
        <v>44</v>
      </c>
      <c r="AJ115" s="12" t="s">
        <v>45</v>
      </c>
      <c r="AK115" s="12" t="s">
        <v>75</v>
      </c>
      <c r="AL115" s="12" t="s">
        <v>48</v>
      </c>
      <c r="AM115" s="12" t="s">
        <v>49</v>
      </c>
      <c r="AN115" s="12" t="s">
        <v>44</v>
      </c>
      <c r="AO115" s="12" t="s">
        <v>45</v>
      </c>
      <c r="AP115" s="10"/>
    </row>
    <row r="116" spans="1:56" s="2" customFormat="1" ht="11.25" outlineLevel="1" x14ac:dyDescent="0.2">
      <c r="A116" s="112"/>
      <c r="B116" s="113"/>
      <c r="C116" s="114"/>
      <c r="D116" s="115"/>
      <c r="E116" s="116"/>
      <c r="F116" s="117"/>
      <c r="G116" s="118"/>
      <c r="H116" s="94"/>
      <c r="I116" s="94"/>
      <c r="J116" s="95"/>
      <c r="K116" s="95"/>
      <c r="L116" s="118"/>
      <c r="M116" s="118"/>
      <c r="N116" s="98"/>
      <c r="O116" s="98"/>
      <c r="P116" s="96"/>
      <c r="Q116" s="96"/>
      <c r="R116" s="97"/>
      <c r="S116" s="97"/>
      <c r="T116" s="97"/>
      <c r="U116" s="97"/>
      <c r="V116" s="97"/>
      <c r="W116" s="97"/>
      <c r="X116" s="97"/>
      <c r="Y116" s="97"/>
      <c r="Z116" s="97"/>
      <c r="AA116" s="98"/>
      <c r="AB116" s="84"/>
      <c r="AC116" s="85"/>
      <c r="AD116" s="85"/>
      <c r="AE116" s="22"/>
      <c r="AF116" s="22"/>
      <c r="AG116" s="22"/>
      <c r="AH116" s="85"/>
      <c r="AI116" s="119">
        <f t="shared" ref="AI116:AI118" si="7">IF($E116&lt;=ValDate,1,0) * IF($F116&gt;ValDate,1,IF($F116=0,1,0))</f>
        <v>1</v>
      </c>
      <c r="AJ116" s="119">
        <f t="shared" ref="AJ116:AJ118" si="8">AI116*YEARFRAC($D116,ValDate)</f>
        <v>125.5</v>
      </c>
      <c r="AK116" s="119">
        <f>L116*N116*SUM(R116:T116)</f>
        <v>0</v>
      </c>
      <c r="AL116" s="120">
        <f>AI116*YEARFRAC(E116,VaDate)</f>
        <v>125.5</v>
      </c>
      <c r="AM116" s="120">
        <f>AI116*SUM(R116:T116)</f>
        <v>0</v>
      </c>
      <c r="AN116" s="119">
        <f t="shared" ref="AN116:AN118" si="9">IF($E116&lt;=LastYear,1,0) * IF($F116&gt;LastYear,1,IF($F116=0,1,0))</f>
        <v>1</v>
      </c>
      <c r="AO116" s="119">
        <f t="shared" ref="AO116:AO118" si="10">AN116*YEARFRAC($D116,LastYear)</f>
        <v>124.5</v>
      </c>
      <c r="AP116" s="8"/>
      <c r="AR116"/>
      <c r="AS116"/>
      <c r="AV116"/>
      <c r="BB116"/>
      <c r="BC116"/>
      <c r="BD116"/>
    </row>
    <row r="117" spans="1:56" s="2" customFormat="1" ht="11.25" outlineLevel="1" x14ac:dyDescent="0.2">
      <c r="A117" s="112"/>
      <c r="B117" s="113"/>
      <c r="C117" s="114"/>
      <c r="D117" s="115"/>
      <c r="E117" s="116"/>
      <c r="F117" s="117"/>
      <c r="G117" s="118"/>
      <c r="H117" s="94"/>
      <c r="I117" s="94"/>
      <c r="J117" s="95"/>
      <c r="K117" s="95"/>
      <c r="L117" s="118"/>
      <c r="M117" s="118"/>
      <c r="N117" s="98"/>
      <c r="O117" s="98"/>
      <c r="P117" s="96"/>
      <c r="Q117" s="96"/>
      <c r="R117" s="97"/>
      <c r="S117" s="97"/>
      <c r="T117" s="97"/>
      <c r="U117" s="97"/>
      <c r="V117" s="97"/>
      <c r="W117" s="97"/>
      <c r="X117" s="97"/>
      <c r="Y117" s="97"/>
      <c r="Z117" s="97"/>
      <c r="AA117" s="98"/>
      <c r="AB117" s="84"/>
      <c r="AC117" s="85"/>
      <c r="AD117" s="85"/>
      <c r="AE117" s="22"/>
      <c r="AF117" s="22"/>
      <c r="AG117" s="22"/>
      <c r="AH117" s="85"/>
      <c r="AI117" s="119">
        <f t="shared" si="7"/>
        <v>1</v>
      </c>
      <c r="AJ117" s="119">
        <f t="shared" si="8"/>
        <v>125.5</v>
      </c>
      <c r="AK117" s="119">
        <f>L117*N117*SUM(R117:T117)</f>
        <v>0</v>
      </c>
      <c r="AL117" s="120">
        <f>AI117*YEARFRAC(E117,VaDate)</f>
        <v>125.5</v>
      </c>
      <c r="AM117" s="120">
        <f>AI117*SUM(R117:T117)</f>
        <v>0</v>
      </c>
      <c r="AN117" s="119">
        <f t="shared" si="9"/>
        <v>1</v>
      </c>
      <c r="AO117" s="119">
        <f t="shared" si="10"/>
        <v>124.5</v>
      </c>
      <c r="AP117" s="8"/>
      <c r="AR117"/>
      <c r="AS117"/>
      <c r="AV117"/>
      <c r="BB117"/>
      <c r="BC117"/>
      <c r="BD117"/>
    </row>
    <row r="118" spans="1:56" s="2" customFormat="1" ht="11.25" outlineLevel="1" x14ac:dyDescent="0.2">
      <c r="A118" s="112"/>
      <c r="B118" s="113"/>
      <c r="C118" s="114"/>
      <c r="D118" s="115"/>
      <c r="E118" s="116"/>
      <c r="F118" s="117"/>
      <c r="G118" s="118"/>
      <c r="H118" s="94"/>
      <c r="I118" s="94"/>
      <c r="J118" s="95"/>
      <c r="K118" s="95"/>
      <c r="L118" s="118"/>
      <c r="M118" s="118"/>
      <c r="N118" s="98"/>
      <c r="O118" s="98"/>
      <c r="P118" s="96"/>
      <c r="Q118" s="96"/>
      <c r="R118" s="97"/>
      <c r="S118" s="97"/>
      <c r="T118" s="97"/>
      <c r="U118" s="97"/>
      <c r="V118" s="97"/>
      <c r="W118" s="97"/>
      <c r="X118" s="97"/>
      <c r="Y118" s="97"/>
      <c r="Z118" s="97"/>
      <c r="AA118" s="98"/>
      <c r="AB118" s="84"/>
      <c r="AC118" s="85"/>
      <c r="AD118" s="85"/>
      <c r="AE118" s="22"/>
      <c r="AF118" s="22"/>
      <c r="AG118" s="22"/>
      <c r="AH118" s="85"/>
      <c r="AI118" s="119">
        <f t="shared" si="7"/>
        <v>1</v>
      </c>
      <c r="AJ118" s="119">
        <f t="shared" si="8"/>
        <v>125.5</v>
      </c>
      <c r="AK118" s="119">
        <f>L118*N118*SUM(R118:T118)</f>
        <v>0</v>
      </c>
      <c r="AL118" s="120">
        <f>AI118*YEARFRAC(E118,VaDate)</f>
        <v>125.5</v>
      </c>
      <c r="AM118" s="120">
        <f>AI118*SUM(R118:T118)</f>
        <v>0</v>
      </c>
      <c r="AN118" s="119">
        <f t="shared" si="9"/>
        <v>1</v>
      </c>
      <c r="AO118" s="119">
        <f t="shared" si="10"/>
        <v>124.5</v>
      </c>
      <c r="AP118" s="8"/>
      <c r="AR118"/>
      <c r="AS118"/>
      <c r="AV118"/>
      <c r="BB118"/>
      <c r="BC118"/>
      <c r="BD118"/>
    </row>
    <row r="119" spans="1:56" s="2" customFormat="1" ht="11.25" outlineLevel="1" x14ac:dyDescent="0.2">
      <c r="A119" s="112"/>
      <c r="B119" s="113"/>
      <c r="C119" s="114"/>
      <c r="D119" s="115"/>
      <c r="E119" s="116"/>
      <c r="F119" s="117"/>
      <c r="G119" s="118"/>
      <c r="H119" s="94"/>
      <c r="I119" s="94"/>
      <c r="J119" s="95"/>
      <c r="K119" s="95"/>
      <c r="L119" s="118"/>
      <c r="M119" s="118"/>
      <c r="N119" s="98"/>
      <c r="O119" s="98"/>
      <c r="P119" s="96"/>
      <c r="Q119" s="96"/>
      <c r="R119" s="97"/>
      <c r="S119" s="97"/>
      <c r="T119" s="97"/>
      <c r="U119" s="97"/>
      <c r="V119" s="97"/>
      <c r="W119" s="97"/>
      <c r="X119" s="97"/>
      <c r="Y119" s="97"/>
      <c r="Z119" s="97"/>
      <c r="AA119" s="98"/>
      <c r="AB119" s="84"/>
      <c r="AC119" s="85"/>
      <c r="AD119" s="85"/>
      <c r="AE119" s="22"/>
      <c r="AF119" s="22"/>
      <c r="AG119" s="22"/>
      <c r="AH119" s="85"/>
      <c r="AI119" s="119">
        <f>IF($E119&lt;=ValDate,1,0) * IF($F119&gt;ValDate,1,IF($F119=0,1,0))</f>
        <v>1</v>
      </c>
      <c r="AJ119" s="119">
        <f t="shared" ref="AJ119" si="11">AI119*YEARFRAC($D119,ValDate)</f>
        <v>125.5</v>
      </c>
      <c r="AK119" s="119">
        <f>L119*N119*SUM(R119:T119)</f>
        <v>0</v>
      </c>
      <c r="AL119" s="120">
        <f>AI119*YEARFRAC(E119,VaDate)</f>
        <v>125.5</v>
      </c>
      <c r="AM119" s="120">
        <f>AI119*SUM(R119:T119)</f>
        <v>0</v>
      </c>
      <c r="AN119" s="119">
        <f>IF($E119&lt;=LastYear,1,0) * IF($F119&gt;LastYear,1,IF($F119=0,1,0))</f>
        <v>1</v>
      </c>
      <c r="AO119" s="119">
        <f t="shared" ref="AO119" si="12">AN119*YEARFRAC($D119,LastYear)</f>
        <v>124.5</v>
      </c>
      <c r="AP119" s="8"/>
      <c r="AR119"/>
      <c r="AS119"/>
      <c r="AV119"/>
      <c r="BB119"/>
      <c r="BC119"/>
      <c r="BD119"/>
    </row>
    <row r="120" spans="1:56" s="2" customFormat="1" ht="11.25" x14ac:dyDescent="0.2">
      <c r="A120" s="89" t="s">
        <v>11</v>
      </c>
      <c r="B120" s="40">
        <f>COUNT(D116:D119)</f>
        <v>0</v>
      </c>
      <c r="C120" s="35" t="str">
        <f t="array" ref="C120">TEXT(SUM(IF(C116:C119="M",1,0))/(ROW(B120)-ROW(DataStart)),"##.#%") &amp; " male"</f>
        <v>.% male</v>
      </c>
      <c r="D120" s="76"/>
      <c r="E120" s="76"/>
      <c r="F120" s="35"/>
      <c r="G120" s="27">
        <f>SUM(G116:G119)</f>
        <v>0</v>
      </c>
      <c r="H120" s="37">
        <f>SUM(H111:H119)</f>
        <v>0</v>
      </c>
      <c r="I120" s="37">
        <f>SUM(I111:I119)</f>
        <v>0</v>
      </c>
      <c r="J120" s="38">
        <f>SUM(J111:J119)</f>
        <v>0</v>
      </c>
      <c r="K120" s="38">
        <f>SUM(K111:K119)</f>
        <v>0</v>
      </c>
      <c r="L120" s="27">
        <f t="shared" ref="L120:T120" si="13">SUM(L116:L119)</f>
        <v>0</v>
      </c>
      <c r="M120" s="27">
        <f t="shared" si="13"/>
        <v>0</v>
      </c>
      <c r="N120" s="39">
        <f t="shared" si="13"/>
        <v>0</v>
      </c>
      <c r="O120" s="39">
        <f t="shared" si="13"/>
        <v>0</v>
      </c>
      <c r="P120" s="92">
        <f t="shared" si="13"/>
        <v>0</v>
      </c>
      <c r="Q120" s="92">
        <f t="shared" si="13"/>
        <v>0</v>
      </c>
      <c r="R120" s="36">
        <f t="shared" si="13"/>
        <v>0</v>
      </c>
      <c r="S120" s="36">
        <f t="shared" si="13"/>
        <v>0</v>
      </c>
      <c r="T120" s="36">
        <f t="shared" si="13"/>
        <v>0</v>
      </c>
      <c r="U120" s="36">
        <f t="shared" ref="U120:Z120" si="14">SUM(U116:U119)</f>
        <v>0</v>
      </c>
      <c r="V120" s="36">
        <f t="shared" si="14"/>
        <v>0</v>
      </c>
      <c r="W120" s="36">
        <f t="shared" si="14"/>
        <v>0</v>
      </c>
      <c r="X120" s="36">
        <f t="shared" si="14"/>
        <v>0</v>
      </c>
      <c r="Y120" s="36">
        <f t="shared" si="14"/>
        <v>0</v>
      </c>
      <c r="Z120" s="36">
        <f t="shared" si="14"/>
        <v>0</v>
      </c>
      <c r="AA120" s="39">
        <f t="shared" ref="AA120:AO120" si="15">SUM(AA116:AA119)</f>
        <v>0</v>
      </c>
      <c r="AB120" s="27">
        <f t="shared" si="15"/>
        <v>0</v>
      </c>
      <c r="AC120" s="39">
        <f t="shared" si="15"/>
        <v>0</v>
      </c>
      <c r="AD120" s="39">
        <f t="shared" si="15"/>
        <v>0</v>
      </c>
      <c r="AE120" s="36">
        <f t="shared" si="15"/>
        <v>0</v>
      </c>
      <c r="AF120" s="36">
        <f t="shared" si="15"/>
        <v>0</v>
      </c>
      <c r="AG120" s="36">
        <f t="shared" si="15"/>
        <v>0</v>
      </c>
      <c r="AH120" s="39">
        <f t="shared" si="15"/>
        <v>0</v>
      </c>
      <c r="AI120" s="56">
        <f t="shared" si="15"/>
        <v>4</v>
      </c>
      <c r="AJ120" s="56">
        <f t="shared" si="15"/>
        <v>502</v>
      </c>
      <c r="AK120" s="56">
        <f t="shared" si="15"/>
        <v>0</v>
      </c>
      <c r="AL120" s="56">
        <f t="shared" si="15"/>
        <v>502</v>
      </c>
      <c r="AM120" s="56">
        <f t="shared" si="15"/>
        <v>0</v>
      </c>
      <c r="AN120" s="56">
        <f t="shared" si="15"/>
        <v>4</v>
      </c>
      <c r="AO120" s="56">
        <f t="shared" si="15"/>
        <v>498</v>
      </c>
      <c r="AP120" s="8"/>
      <c r="AV120"/>
      <c r="BB120"/>
      <c r="BC120"/>
      <c r="BD120"/>
    </row>
    <row r="121" spans="1:56" s="2" customFormat="1" ht="11.25" x14ac:dyDescent="0.2">
      <c r="A121" s="13" t="s">
        <v>12</v>
      </c>
      <c r="B121" s="21"/>
      <c r="C121" s="35"/>
      <c r="D121" s="76">
        <f>MIN(D$116:D$119)</f>
        <v>0</v>
      </c>
      <c r="E121" s="76">
        <f>MIN(E$116:E$119)</f>
        <v>0</v>
      </c>
      <c r="F121" s="35">
        <f t="array" ref="F121">MIN(IF(F$116:F$119&gt;0,F$116:F$119,DATE(2099,12,31)))</f>
        <v>73050</v>
      </c>
      <c r="G121" s="27">
        <f>MIN(G$116:G$119)</f>
        <v>0</v>
      </c>
      <c r="H121" s="37">
        <f>MIN(H$111:H$119)</f>
        <v>0</v>
      </c>
      <c r="I121" s="37">
        <f>MIN(I$111:I$119)</f>
        <v>0</v>
      </c>
      <c r="J121" s="38">
        <f>MIN(J$111:J$119)</f>
        <v>0</v>
      </c>
      <c r="K121" s="38">
        <f>MIN(K$111:K$119)</f>
        <v>0</v>
      </c>
      <c r="L121" s="27">
        <f t="shared" ref="L121:T121" si="16">MIN(L$116:L$119)</f>
        <v>0</v>
      </c>
      <c r="M121" s="27">
        <f t="shared" si="16"/>
        <v>0</v>
      </c>
      <c r="N121" s="39">
        <f t="shared" si="16"/>
        <v>0</v>
      </c>
      <c r="O121" s="39">
        <f t="shared" si="16"/>
        <v>0</v>
      </c>
      <c r="P121" s="92">
        <f t="shared" si="16"/>
        <v>0</v>
      </c>
      <c r="Q121" s="92">
        <f t="shared" si="16"/>
        <v>0</v>
      </c>
      <c r="R121" s="36">
        <f t="shared" si="16"/>
        <v>0</v>
      </c>
      <c r="S121" s="36">
        <f t="shared" si="16"/>
        <v>0</v>
      </c>
      <c r="T121" s="36">
        <f t="shared" si="16"/>
        <v>0</v>
      </c>
      <c r="U121" s="36">
        <f t="shared" ref="U121:Z121" si="17">MIN(U$116:U$119)</f>
        <v>0</v>
      </c>
      <c r="V121" s="36">
        <f t="shared" si="17"/>
        <v>0</v>
      </c>
      <c r="W121" s="36">
        <f t="shared" si="17"/>
        <v>0</v>
      </c>
      <c r="X121" s="36">
        <f t="shared" si="17"/>
        <v>0</v>
      </c>
      <c r="Y121" s="36">
        <f t="shared" si="17"/>
        <v>0</v>
      </c>
      <c r="Z121" s="36">
        <f t="shared" si="17"/>
        <v>0</v>
      </c>
      <c r="AA121" s="39">
        <f t="shared" ref="AA121:AI121" si="18">MIN(AA$116:AA$119)</f>
        <v>0</v>
      </c>
      <c r="AB121" s="27">
        <f t="shared" si="18"/>
        <v>0</v>
      </c>
      <c r="AC121" s="39">
        <f t="shared" si="18"/>
        <v>0</v>
      </c>
      <c r="AD121" s="39">
        <f t="shared" si="18"/>
        <v>0</v>
      </c>
      <c r="AE121" s="36">
        <f t="shared" si="18"/>
        <v>0</v>
      </c>
      <c r="AF121" s="36">
        <f t="shared" si="18"/>
        <v>0</v>
      </c>
      <c r="AG121" s="36">
        <f t="shared" si="18"/>
        <v>0</v>
      </c>
      <c r="AH121" s="39">
        <f t="shared" si="18"/>
        <v>0</v>
      </c>
      <c r="AI121" s="36">
        <f t="shared" si="18"/>
        <v>1</v>
      </c>
      <c r="AJ121" s="36">
        <f t="array" ref="AJ121">MIN(IF($AI$116:$AI119=1,AJ$116:AJ$119,9999999))</f>
        <v>125.5</v>
      </c>
      <c r="AK121" s="36">
        <f t="array" ref="AK121">MIN(IF($AI$116:$AI119=1,AK$116:AK$119,9999999))</f>
        <v>0</v>
      </c>
      <c r="AL121" s="36">
        <f t="array" ref="AL121">MIN(IF($AI$116:$AI119=1,AL$116:AL$119,9999999))</f>
        <v>125.5</v>
      </c>
      <c r="AM121" s="36">
        <f t="array" ref="AM121">MIN(IF($AI$116:$AI119=1,AM$116:AM$119,9999999))</f>
        <v>0</v>
      </c>
      <c r="AN121" s="56">
        <f>MIN(AN$116:AN$119)</f>
        <v>1</v>
      </c>
      <c r="AO121" s="36">
        <f>MIN(AO$116:AO$119)</f>
        <v>124.5</v>
      </c>
      <c r="AP121" s="8"/>
      <c r="AR121"/>
      <c r="AS121"/>
      <c r="AV121"/>
      <c r="BB121"/>
      <c r="BC121"/>
      <c r="BD121"/>
    </row>
    <row r="122" spans="1:56" s="2" customFormat="1" ht="11.25" x14ac:dyDescent="0.2">
      <c r="A122" s="13" t="s">
        <v>13</v>
      </c>
      <c r="B122" s="21"/>
      <c r="C122" s="35"/>
      <c r="D122" s="76">
        <f>MAX(D$116:D$119)</f>
        <v>0</v>
      </c>
      <c r="E122" s="76">
        <f>MAX(E$116:E$119)</f>
        <v>0</v>
      </c>
      <c r="F122" s="35">
        <f t="array" ref="F122">MAX(IF(F$116:F$119&lt;=ValDate,F$116:F$119,0))</f>
        <v>0</v>
      </c>
      <c r="G122" s="27">
        <f>MAX(G$116:G$119)</f>
        <v>0</v>
      </c>
      <c r="H122" s="37">
        <f>MAX(H$111:H$119)</f>
        <v>0</v>
      </c>
      <c r="I122" s="37">
        <f>MAX(I$111:I$119)</f>
        <v>0</v>
      </c>
      <c r="J122" s="38">
        <f>MAX(J$111:J$119)</f>
        <v>0</v>
      </c>
      <c r="K122" s="38">
        <f>MAX(K$111:K$119)</f>
        <v>0</v>
      </c>
      <c r="L122" s="27">
        <f t="shared" ref="L122:T122" si="19">MAX(L$116:L$119)</f>
        <v>0</v>
      </c>
      <c r="M122" s="27">
        <f t="shared" si="19"/>
        <v>0</v>
      </c>
      <c r="N122" s="39">
        <f t="shared" si="19"/>
        <v>0</v>
      </c>
      <c r="O122" s="39">
        <f t="shared" si="19"/>
        <v>0</v>
      </c>
      <c r="P122" s="92">
        <f t="shared" si="19"/>
        <v>0</v>
      </c>
      <c r="Q122" s="92">
        <f t="shared" si="19"/>
        <v>0</v>
      </c>
      <c r="R122" s="36">
        <f t="shared" si="19"/>
        <v>0</v>
      </c>
      <c r="S122" s="36">
        <f t="shared" si="19"/>
        <v>0</v>
      </c>
      <c r="T122" s="36">
        <f t="shared" si="19"/>
        <v>0</v>
      </c>
      <c r="U122" s="36">
        <f t="shared" ref="U122:Z122" si="20">MAX(U$116:U$119)</f>
        <v>0</v>
      </c>
      <c r="V122" s="36">
        <f t="shared" si="20"/>
        <v>0</v>
      </c>
      <c r="W122" s="36">
        <f t="shared" si="20"/>
        <v>0</v>
      </c>
      <c r="X122" s="36">
        <f t="shared" si="20"/>
        <v>0</v>
      </c>
      <c r="Y122" s="36">
        <f t="shared" si="20"/>
        <v>0</v>
      </c>
      <c r="Z122" s="36">
        <f t="shared" si="20"/>
        <v>0</v>
      </c>
      <c r="AA122" s="39">
        <f t="shared" ref="AA122:AI122" si="21">MAX(AA$116:AA$119)</f>
        <v>0</v>
      </c>
      <c r="AB122" s="27">
        <f t="shared" si="21"/>
        <v>0</v>
      </c>
      <c r="AC122" s="39">
        <f t="shared" si="21"/>
        <v>0</v>
      </c>
      <c r="AD122" s="39">
        <f t="shared" si="21"/>
        <v>0</v>
      </c>
      <c r="AE122" s="36">
        <f t="shared" si="21"/>
        <v>0</v>
      </c>
      <c r="AF122" s="36">
        <f t="shared" si="21"/>
        <v>0</v>
      </c>
      <c r="AG122" s="36">
        <f t="shared" si="21"/>
        <v>0</v>
      </c>
      <c r="AH122" s="39">
        <f t="shared" si="21"/>
        <v>0</v>
      </c>
      <c r="AI122" s="36">
        <f t="shared" si="21"/>
        <v>1</v>
      </c>
      <c r="AJ122" s="36">
        <f t="array" ref="AJ122">MAX(IF($AI$116:$AI119=1,AJ$116:AJ$119,0))</f>
        <v>125.5</v>
      </c>
      <c r="AK122" s="36">
        <f t="array" ref="AK122">MAX(IF($AI$116:$AI119=1,AK$116:AK$119,0))</f>
        <v>0</v>
      </c>
      <c r="AL122" s="36">
        <f t="array" ref="AL122">MAX(IF($AI$116:$AI119=1,AL$116:AL$119,0))</f>
        <v>125.5</v>
      </c>
      <c r="AM122" s="36">
        <f t="array" ref="AM122">MAX(IF($AI$116:$AI119=1,AM$116:AM$119,0))</f>
        <v>0</v>
      </c>
      <c r="AN122" s="56">
        <f>MAX(AN$116:AN$119)</f>
        <v>1</v>
      </c>
      <c r="AO122" s="36">
        <f>MAX(AO$116:AO$119)</f>
        <v>124.5</v>
      </c>
      <c r="AP122" s="8"/>
      <c r="AR122"/>
      <c r="AS122"/>
      <c r="AV122"/>
    </row>
    <row r="123" spans="1:56" s="2" customFormat="1" ht="11.25" x14ac:dyDescent="0.2">
      <c r="A123" s="13" t="s">
        <v>14</v>
      </c>
      <c r="B123" s="21"/>
      <c r="C123" s="35"/>
      <c r="D123" s="76">
        <f>IF(COUNT(D116:D119)&gt;0,SUM(D116:D119)/COUNT(D116:D119),0)</f>
        <v>0</v>
      </c>
      <c r="E123" s="76">
        <f>IF(COUNT(E116:E119)&gt;0,SUM(E116:E119)/COUNT(E116:E119),0)</f>
        <v>0</v>
      </c>
      <c r="F123" s="35">
        <f>IF(COUNT(F116:F119)&gt;0,SUM(F116:F119)/COUNT(F116:F119),0)</f>
        <v>0</v>
      </c>
      <c r="G123" s="27">
        <f>IF(COUNT(G116:G119)&gt;0,SUM(G116:G119)/COUNT(G116:G119),0)</f>
        <v>0</v>
      </c>
      <c r="H123" s="37">
        <f>IF(COUNT(H111:H119)&gt;0,SUM(H111:H119)/COUNT(H111:H119),0)</f>
        <v>0</v>
      </c>
      <c r="I123" s="37">
        <f>IF(COUNT(I111:I119)&gt;0,SUM(I111:I119)/COUNT(I111:I119),0)</f>
        <v>0</v>
      </c>
      <c r="J123" s="38">
        <f>IF(COUNT(J111:J119)&gt;0,SUM(J111:J119)/COUNT(J111:J119),0)</f>
        <v>0</v>
      </c>
      <c r="K123" s="38">
        <f>IF(COUNT(K111:K119)&gt;0,SUM(K111:K119)/COUNT(K111:K119),0)</f>
        <v>0</v>
      </c>
      <c r="L123" s="27">
        <f t="shared" ref="L123:T123" si="22">IF(COUNT(L116:L119)&gt;0,SUM(L116:L119)/COUNT(L116:L119),0)</f>
        <v>0</v>
      </c>
      <c r="M123" s="27">
        <f t="shared" si="22"/>
        <v>0</v>
      </c>
      <c r="N123" s="39">
        <f t="shared" si="22"/>
        <v>0</v>
      </c>
      <c r="O123" s="39">
        <f t="shared" si="22"/>
        <v>0</v>
      </c>
      <c r="P123" s="92">
        <f t="shared" si="22"/>
        <v>0</v>
      </c>
      <c r="Q123" s="92">
        <f t="shared" si="22"/>
        <v>0</v>
      </c>
      <c r="R123" s="36">
        <f t="shared" si="22"/>
        <v>0</v>
      </c>
      <c r="S123" s="36">
        <f t="shared" si="22"/>
        <v>0</v>
      </c>
      <c r="T123" s="36">
        <f t="shared" si="22"/>
        <v>0</v>
      </c>
      <c r="U123" s="36">
        <f t="shared" ref="U123:Z123" si="23">IF(COUNT(U116:U119)&gt;0,SUM(U116:U119)/COUNT(U116:U119),0)</f>
        <v>0</v>
      </c>
      <c r="V123" s="36">
        <f t="shared" si="23"/>
        <v>0</v>
      </c>
      <c r="W123" s="36">
        <f t="shared" si="23"/>
        <v>0</v>
      </c>
      <c r="X123" s="36">
        <f t="shared" si="23"/>
        <v>0</v>
      </c>
      <c r="Y123" s="36">
        <f t="shared" si="23"/>
        <v>0</v>
      </c>
      <c r="Z123" s="36">
        <f t="shared" si="23"/>
        <v>0</v>
      </c>
      <c r="AA123" s="39">
        <f t="shared" ref="AA123:AI123" si="24">IF(COUNT(AA116:AA119)&gt;0,SUM(AA116:AA119)/COUNT(AA116:AA119),0)</f>
        <v>0</v>
      </c>
      <c r="AB123" s="27">
        <f t="shared" si="24"/>
        <v>0</v>
      </c>
      <c r="AC123" s="39">
        <f t="shared" si="24"/>
        <v>0</v>
      </c>
      <c r="AD123" s="39">
        <f t="shared" si="24"/>
        <v>0</v>
      </c>
      <c r="AE123" s="36">
        <f t="shared" si="24"/>
        <v>0</v>
      </c>
      <c r="AF123" s="36">
        <f t="shared" si="24"/>
        <v>0</v>
      </c>
      <c r="AG123" s="36">
        <f t="shared" si="24"/>
        <v>0</v>
      </c>
      <c r="AH123" s="39">
        <f t="shared" si="24"/>
        <v>0</v>
      </c>
      <c r="AI123" s="36">
        <f t="shared" si="24"/>
        <v>1</v>
      </c>
      <c r="AJ123" s="36">
        <f t="array" ref="AJ123">IF($AI$120&gt;0,SUM(IF($AI$116:$AI119=1,AJ116:AJ119,0))/$AI$120,0)</f>
        <v>125.5</v>
      </c>
      <c r="AK123" s="36">
        <f t="array" ref="AK123">IF($AI$120&gt;0,SUM(IF($AI$116:$AI119=1,AK116:AK119,0))/$AI$120,0)</f>
        <v>0</v>
      </c>
      <c r="AL123" s="36">
        <f t="array" ref="AL123">IF($AI$120&gt;0,SUM(IF($AI$116:$AI119=1,AL116:AL119,0))/$AI$120,0)</f>
        <v>125.5</v>
      </c>
      <c r="AM123" s="36">
        <f t="array" ref="AM123">IF($AI$120&gt;0,SUM(IF($AI$116:$AI119=1,AM116:AM119,0))/$AI$120,0)</f>
        <v>0</v>
      </c>
      <c r="AN123" s="56">
        <f>IF(COUNT(AN116:AN119)&gt;0,SUM(AN116:AN119)/COUNT(AN116:AN119),0)</f>
        <v>1</v>
      </c>
      <c r="AO123" s="36">
        <f>IF(COUNT(AO116:AO119)&gt;0,SUM(AO116:AO119)/COUNT(AO116:AO119),0)</f>
        <v>124.5</v>
      </c>
      <c r="AP123" s="8"/>
      <c r="AR123"/>
      <c r="AS123"/>
      <c r="AV123"/>
    </row>
    <row r="124" spans="1:56" s="2" customFormat="1" ht="11.25" x14ac:dyDescent="0.2">
      <c r="A124" s="13" t="str">
        <f>"Live " &amp; AI120</f>
        <v>Live 4</v>
      </c>
      <c r="B124" s="21"/>
      <c r="C124" s="35" t="str">
        <f t="array" ref="C124">TEXT(SUM(IF(C$116:C$119= "M",1,0)*$AI$116:$AI$119)/$AI$120,"##.##%") &amp;" M"</f>
        <v>.% M</v>
      </c>
      <c r="D124" s="76">
        <f t="array" ref="D124">SUM(D$116:D$119*$AI$116:$AI$119)</f>
        <v>0</v>
      </c>
      <c r="E124" s="76">
        <f t="array" ref="E124">SUM(E$116:E$119*$AI$116:$AI$119)</f>
        <v>0</v>
      </c>
      <c r="F124" s="35">
        <f t="array" ref="F124">SUM(F$116:F$119*$AI$116:$AI$119)</f>
        <v>0</v>
      </c>
      <c r="G124" s="27">
        <f t="array" ref="G124">SUM(G$116:G$119*$AI$116:$AI$119)</f>
        <v>0</v>
      </c>
      <c r="H124" s="37">
        <f t="array" ref="H124">SUM(H$116:H$119*$AI$116:$AI$119)</f>
        <v>0</v>
      </c>
      <c r="I124" s="37">
        <f t="array" ref="I124">SUM(I$116:I$119*$AI$116:$AI$119)</f>
        <v>0</v>
      </c>
      <c r="J124" s="38">
        <f t="array" ref="J124">SUM(J$116:J$119*$AI$116:$AI$119)</f>
        <v>0</v>
      </c>
      <c r="K124" s="38">
        <f t="array" ref="K124">SUM(K$116:K$119*$AI$116:$AI$119)</f>
        <v>0</v>
      </c>
      <c r="L124" s="27">
        <f t="array" ref="L124">SUM(L$116:L$119*$AI$116:$AI$119)</f>
        <v>0</v>
      </c>
      <c r="M124" s="27">
        <f t="array" ref="M124">SUM(M$116:M$119*$AI$116:$AI$119)</f>
        <v>0</v>
      </c>
      <c r="N124" s="39">
        <f t="array" ref="N124">SUM(N$116:N$119*$AI$116:$AI$119)</f>
        <v>0</v>
      </c>
      <c r="O124" s="39">
        <f t="array" ref="O124">SUM(O$116:O$119*$AI$116:$AI$119)</f>
        <v>0</v>
      </c>
      <c r="P124" s="92">
        <f t="array" ref="P124">SUM(P$116:P$119*$AI$116:$AI$119)</f>
        <v>0</v>
      </c>
      <c r="Q124" s="92">
        <f t="array" ref="Q124">SUM(Q$116:Q$119*$AI$116:$AI$119)</f>
        <v>0</v>
      </c>
      <c r="R124" s="36">
        <f t="array" ref="R124">SUM(R$116:R$119*$AI$116:$AI$119)</f>
        <v>0</v>
      </c>
      <c r="S124" s="36">
        <f t="array" ref="S124">SUM(S$116:S$119*$AI$116:$AI$119)</f>
        <v>0</v>
      </c>
      <c r="T124" s="36">
        <f t="array" ref="T124">SUM(T$116:T$119*$AI$116:$AI$119)</f>
        <v>0</v>
      </c>
      <c r="U124" s="36">
        <f t="array" ref="U124">SUM(U$116:U$119*$AI$116:$AI$119)</f>
        <v>0</v>
      </c>
      <c r="V124" s="36">
        <f t="array" ref="V124">SUM(V$116:V$119*$AI$116:$AI$119)</f>
        <v>0</v>
      </c>
      <c r="W124" s="36">
        <f t="array" ref="W124">SUM(W$116:W$119*$AI$116:$AI$119)</f>
        <v>0</v>
      </c>
      <c r="X124" s="36">
        <f t="array" ref="X124">SUM(X$116:X$119*$AI$116:$AI$119)</f>
        <v>0</v>
      </c>
      <c r="Y124" s="36">
        <f t="array" ref="Y124">SUM(Y$116:Y$119*$AI$116:$AI$119)</f>
        <v>0</v>
      </c>
      <c r="Z124" s="36">
        <f t="array" ref="Z124">SUM(Z$116:Z$119*$AI$116:$AI$119)</f>
        <v>0</v>
      </c>
      <c r="AA124" s="39">
        <f t="array" ref="AA124">SUM(AA$116:AA$119*$AI$116:$AI$119)</f>
        <v>0</v>
      </c>
      <c r="AB124" s="27">
        <f t="array" ref="AB124">SUM(AB$116:AB$119*$AI$116:$AI$119)</f>
        <v>0</v>
      </c>
      <c r="AC124" s="39">
        <f t="array" ref="AC124">SUM(AC$116:AC$119*$AI$116:$AI$119)</f>
        <v>0</v>
      </c>
      <c r="AD124" s="39">
        <f t="array" ref="AD124">SUM(AD$116:AD$119*$AI$116:$AI$119)</f>
        <v>0</v>
      </c>
      <c r="AE124" s="36">
        <f t="array" ref="AE124">SUM(AE$116:AE$119*$AI$116:$AI$119)</f>
        <v>0</v>
      </c>
      <c r="AF124" s="36">
        <f t="array" ref="AF124">SUM(AF$116:AF$119*$AI$116:$AI$119)</f>
        <v>0</v>
      </c>
      <c r="AG124" s="36">
        <f t="array" ref="AG124">SUM(AG$116:AG$119*$AI$116:$AI$119)</f>
        <v>0</v>
      </c>
      <c r="AH124" s="39">
        <f t="array" ref="AH124">SUM(AH$116:AH$119*$AI$116:$AI$119)</f>
        <v>0</v>
      </c>
      <c r="AI124" s="36">
        <f t="array" ref="AI124">SUM(AI$116:AI$119*$AI$116:$AI$119)</f>
        <v>4</v>
      </c>
      <c r="AJ124" s="36">
        <f t="array" ref="AJ124">SUM(IF($AI$116:$AI$119&gt;0,AJ$116:AJ$119))</f>
        <v>502</v>
      </c>
      <c r="AK124" s="36">
        <f t="array" ref="AK124">SUM(IF($AI$116:$AI$119&gt;0,AK$116:AK$119))</f>
        <v>0</v>
      </c>
      <c r="AL124" s="36">
        <f t="array" ref="AL124">SUM(IF($AI$116:$AI$119&gt;0,AL$116:AL$119))</f>
        <v>502</v>
      </c>
      <c r="AM124" s="56">
        <f t="array" ref="AM124">SUM(IF($AI$116:$AI$119&gt;0,AM$116:AM$119))</f>
        <v>0</v>
      </c>
      <c r="AN124" s="56">
        <f t="array" ref="AN124">SUM(AN$116:AN$119*$AI$116:$AI$119)</f>
        <v>4</v>
      </c>
      <c r="AO124" s="36">
        <f t="array" ref="AO124">SUM(AO$116:AO$119*$AI$116:$AI$119)</f>
        <v>498</v>
      </c>
      <c r="AP124" s="8"/>
      <c r="AV124"/>
    </row>
    <row r="125" spans="1:56" s="2" customFormat="1" ht="11.25" x14ac:dyDescent="0.2">
      <c r="A125" s="13" t="s">
        <v>58</v>
      </c>
      <c r="B125" s="21"/>
      <c r="C125" s="35"/>
      <c r="D125" s="76">
        <f t="array" ref="D125">MIN(IF($AI$116:$AI119=1,D$116:D$119,9999999))</f>
        <v>0</v>
      </c>
      <c r="E125" s="76">
        <f t="array" ref="E125">MIN(IF($AI$116:$AI119=1,E$116:E$119,9999999))</f>
        <v>0</v>
      </c>
      <c r="F125" s="35">
        <f t="array" ref="F125">MIN(IF($AI$116:$AI119=1,F$116:F$119,9999999))</f>
        <v>0</v>
      </c>
      <c r="G125" s="27">
        <f t="array" ref="G125">MIN(IF($AI$116:$AI119=1,G$116:G$119,9999999))</f>
        <v>0</v>
      </c>
      <c r="H125" s="37">
        <f t="array" ref="H125">MIN(IF($AI$116:$AI119=1,H$116:H$119,9999999))</f>
        <v>0</v>
      </c>
      <c r="I125" s="37">
        <f t="array" ref="I125">MIN(IF($AI$116:$AI119=1,I$116:I$119,9999999))</f>
        <v>0</v>
      </c>
      <c r="J125" s="38">
        <f t="array" ref="J125">MIN(IF($AI$116:$AI119=1,J$116:J$119,9999999))</f>
        <v>0</v>
      </c>
      <c r="K125" s="38">
        <f t="array" ref="K125">MIN(IF($AI$116:$AI119=1,K$116:K$119,9999999))</f>
        <v>0</v>
      </c>
      <c r="L125" s="27">
        <f t="array" ref="L125">MIN(IF($AI$116:$AI119=1,L$116:L$119,9999999))</f>
        <v>0</v>
      </c>
      <c r="M125" s="27">
        <f t="array" ref="M125">MIN(IF($AI$116:$AI119=1,M$116:M$119,9999999))</f>
        <v>0</v>
      </c>
      <c r="N125" s="39">
        <f t="array" ref="N125">MIN(IF($AI$116:$AI119=1,N$116:N$119,9999999))</f>
        <v>0</v>
      </c>
      <c r="O125" s="39">
        <f t="array" ref="O125">MIN(IF($AI$116:$AI119=1,O$116:O$119,9999999))</f>
        <v>0</v>
      </c>
      <c r="P125" s="92">
        <f t="array" ref="P125">MIN(IF($AI$116:$AI119=1,P$116:P$119,9999999))</f>
        <v>0</v>
      </c>
      <c r="Q125" s="92">
        <f t="array" ref="Q125">MIN(IF($AI$116:$AI119=1,Q$116:Q$119,9999999))</f>
        <v>0</v>
      </c>
      <c r="R125" s="36">
        <f t="array" ref="R125">MIN(IF($AI$116:$AI119=1,R$116:R$119,9999999))</f>
        <v>0</v>
      </c>
      <c r="S125" s="36">
        <f t="array" ref="S125">MIN(IF($AI$116:$AI119=1,S$116:S$119,9999999))</f>
        <v>0</v>
      </c>
      <c r="T125" s="36">
        <f t="array" ref="T125">MIN(IF($AI$116:$AI119=1,T$116:T$119,9999999))</f>
        <v>0</v>
      </c>
      <c r="U125" s="36">
        <f t="array" ref="U125">MIN(IF($AI$116:$AI119=1,U$116:U$119,9999999))</f>
        <v>0</v>
      </c>
      <c r="V125" s="36">
        <f t="array" ref="V125">MIN(IF($AI$116:$AI119=1,V$116:V$119,9999999))</f>
        <v>0</v>
      </c>
      <c r="W125" s="36">
        <f t="array" ref="W125">MIN(IF($AI$116:$AI119=1,W$116:W$119,9999999))</f>
        <v>0</v>
      </c>
      <c r="X125" s="36">
        <f t="array" ref="X125">MIN(IF($AI$116:$AI119=1,X$116:X$119,9999999))</f>
        <v>0</v>
      </c>
      <c r="Y125" s="36">
        <f t="array" ref="Y125">MIN(IF($AI$116:$AI119=1,Y$116:Y$119,9999999))</f>
        <v>0</v>
      </c>
      <c r="Z125" s="36">
        <f t="array" ref="Z125">MIN(IF($AI$116:$AI119=1,Z$116:Z$119,9999999))</f>
        <v>0</v>
      </c>
      <c r="AA125" s="39">
        <f t="array" ref="AA125">MIN(IF($AI$116:$AI119=1,AA$116:AA$119,9999999))</f>
        <v>0</v>
      </c>
      <c r="AB125" s="27">
        <f t="array" ref="AB125">MIN(IF($AI$116:$AI119=1,AB$116:AB$119,9999999))</f>
        <v>0</v>
      </c>
      <c r="AC125" s="39">
        <f t="array" ref="AC125">MIN(IF($AI$116:$AI119=1,AC$116:AC$119,9999999))</f>
        <v>0</v>
      </c>
      <c r="AD125" s="39">
        <f t="array" ref="AD125">MIN(IF($AI$116:$AI119=1,AD$116:AD$119,9999999))</f>
        <v>0</v>
      </c>
      <c r="AE125" s="36">
        <f t="array" ref="AE125">MIN(IF($AI$116:$AI119=1,AE$116:AE$119,9999999))</f>
        <v>0</v>
      </c>
      <c r="AF125" s="36">
        <f t="array" ref="AF125">MIN(IF($AI$116:$AI119=1,AF$116:AF$119,9999999))</f>
        <v>0</v>
      </c>
      <c r="AG125" s="36">
        <f t="array" ref="AG125">MIN(IF($AI$116:$AI119=1,AG$116:AG$119,9999999))</f>
        <v>0</v>
      </c>
      <c r="AH125" s="39">
        <f t="array" ref="AH125">MIN(IF($AI$116:$AI119=1,AH$116:AH$119,9999999))</f>
        <v>0</v>
      </c>
      <c r="AI125" s="36">
        <f t="array" ref="AI125">MIN(IF($AI$116:$AI119=1,AI$116:AI$119,9999999))</f>
        <v>1</v>
      </c>
      <c r="AJ125" s="36">
        <f t="array" ref="AJ125">MIN(IF($AI$116:$AI119=1,AJ$116:AJ$119,9999999))</f>
        <v>125.5</v>
      </c>
      <c r="AK125" s="36">
        <f t="array" ref="AK125">MIN(IF($AI$116:$AI119=1,AK$116:AK$119,9999999))</f>
        <v>0</v>
      </c>
      <c r="AL125" s="36">
        <f t="array" ref="AL125">MIN(IF($AI$116:$AI119=1,AL$116:AL$119,9999999))</f>
        <v>125.5</v>
      </c>
      <c r="AM125" s="36">
        <f t="array" ref="AM125">MIN(IF($AI$116:$AI119=1,AM$116:AM$119,9999999))</f>
        <v>0</v>
      </c>
      <c r="AN125" s="56">
        <f t="array" ref="AN125">MIN(IF($AI$116:$AI119=1,AN$116:AN$119,9999999))</f>
        <v>1</v>
      </c>
      <c r="AO125" s="36">
        <f t="array" ref="AO125">MIN(IF($AI$116:$AI119=1,AO$116:AO$119,9999999))</f>
        <v>124.5</v>
      </c>
      <c r="AP125" s="8"/>
      <c r="AV125"/>
    </row>
    <row r="126" spans="1:56" s="2" customFormat="1" ht="11.25" x14ac:dyDescent="0.2">
      <c r="A126" s="13" t="s">
        <v>59</v>
      </c>
      <c r="B126" s="21"/>
      <c r="C126" s="35"/>
      <c r="D126" s="76">
        <f t="array" ref="D126">MAX(IF($AI$116:$AI119=1,D$116:D$119,0))</f>
        <v>0</v>
      </c>
      <c r="E126" s="76">
        <f t="array" ref="E126">MAX(IF($AI$116:$AI119=1,E$116:E$119,0))</f>
        <v>0</v>
      </c>
      <c r="F126" s="35">
        <f t="array" ref="F126">MAX(IF($AI$116:$AI119=1,F$116:F$119,0))</f>
        <v>0</v>
      </c>
      <c r="G126" s="27">
        <f t="array" ref="G126">MAX(IF($AI$116:$AI119=1,G$116:G$119,0))</f>
        <v>0</v>
      </c>
      <c r="H126" s="37">
        <f t="array" ref="H126">MAX(IF($AI$116:$AI119=1,H$116:H$119,0))</f>
        <v>0</v>
      </c>
      <c r="I126" s="37">
        <f t="array" ref="I126">MAX(IF($AI$116:$AI119=1,I$116:I$119,0))</f>
        <v>0</v>
      </c>
      <c r="J126" s="38">
        <f t="array" ref="J126">MAX(IF($AI$116:$AI119=1,J$116:J$119,0))</f>
        <v>0</v>
      </c>
      <c r="K126" s="38">
        <f t="array" ref="K126">MAX(IF($AI$116:$AI119=1,K$116:K$119,0))</f>
        <v>0</v>
      </c>
      <c r="L126" s="27">
        <f t="array" ref="L126">MAX(IF($AI$116:$AI119=1,L$116:L$119,0))</f>
        <v>0</v>
      </c>
      <c r="M126" s="27">
        <f t="array" ref="M126">MAX(IF($AI$116:$AI119=1,M$116:M$119,0))</f>
        <v>0</v>
      </c>
      <c r="N126" s="39">
        <f t="array" ref="N126">MAX(IF($AI$116:$AI119=1,N$116:N$119,0))</f>
        <v>0</v>
      </c>
      <c r="O126" s="39">
        <f t="array" ref="O126">MAX(IF($AI$116:$AI119=1,O$116:O$119,0))</f>
        <v>0</v>
      </c>
      <c r="P126" s="92">
        <f t="array" ref="P126">MAX(IF($AI$116:$AI119=1,P$116:P$119,0))</f>
        <v>0</v>
      </c>
      <c r="Q126" s="92">
        <f t="array" ref="Q126">MAX(IF($AI$116:$AI119=1,Q$116:Q$119,0))</f>
        <v>0</v>
      </c>
      <c r="R126" s="36">
        <f t="array" ref="R126">MAX(IF($AI$116:$AI119=1,R$116:R$119,0))</f>
        <v>0</v>
      </c>
      <c r="S126" s="36">
        <f t="array" ref="S126">MAX(IF($AI$116:$AI119=1,S$116:S$119,0))</f>
        <v>0</v>
      </c>
      <c r="T126" s="36">
        <f t="array" ref="T126">MAX(IF($AI$116:$AI119=1,T$116:T$119,0))</f>
        <v>0</v>
      </c>
      <c r="U126" s="36">
        <f t="array" ref="U126">MAX(IF($AI$116:$AI119=1,U$116:U$119,0))</f>
        <v>0</v>
      </c>
      <c r="V126" s="36">
        <f t="array" ref="V126">MAX(IF($AI$116:$AI119=1,V$116:V$119,0))</f>
        <v>0</v>
      </c>
      <c r="W126" s="36">
        <f t="array" ref="W126">MAX(IF($AI$116:$AI119=1,W$116:W$119,0))</f>
        <v>0</v>
      </c>
      <c r="X126" s="36">
        <f t="array" ref="X126">MAX(IF($AI$116:$AI119=1,X$116:X$119,0))</f>
        <v>0</v>
      </c>
      <c r="Y126" s="36">
        <f t="array" ref="Y126">MAX(IF($AI$116:$AI119=1,Y$116:Y$119,0))</f>
        <v>0</v>
      </c>
      <c r="Z126" s="36">
        <f t="array" ref="Z126">MAX(IF($AI$116:$AI119=1,Z$116:Z$119,0))</f>
        <v>0</v>
      </c>
      <c r="AA126" s="39">
        <f t="array" ref="AA126">MAX(IF($AI$116:$AI119=1,AA$116:AA$119,0))</f>
        <v>0</v>
      </c>
      <c r="AB126" s="27">
        <f t="array" ref="AB126">MAX(IF($AI$116:$AI119=1,AB$116:AB$119,0))</f>
        <v>0</v>
      </c>
      <c r="AC126" s="39">
        <f t="array" ref="AC126">MAX(IF($AI$116:$AI119=1,AC$116:AC$119,0))</f>
        <v>0</v>
      </c>
      <c r="AD126" s="39">
        <f t="array" ref="AD126">MAX(IF($AI$116:$AI119=1,AD$116:AD$119,0))</f>
        <v>0</v>
      </c>
      <c r="AE126" s="36">
        <f t="array" ref="AE126">MAX(IF($AI$116:$AI119=1,AE$116:AE$119,0))</f>
        <v>0</v>
      </c>
      <c r="AF126" s="36">
        <f t="array" ref="AF126">MAX(IF($AI$116:$AI119=1,AF$116:AF$119,0))</f>
        <v>0</v>
      </c>
      <c r="AG126" s="36">
        <f t="array" ref="AG126">MAX(IF($AI$116:$AI119=1,AG$116:AG$119,0))</f>
        <v>0</v>
      </c>
      <c r="AH126" s="39">
        <f t="array" ref="AH126">MAX(IF($AI$116:$AI119=1,AH$116:AH$119,0))</f>
        <v>0</v>
      </c>
      <c r="AI126" s="36">
        <f t="array" ref="AI126">MAX(IF($AI$116:$AI119=1,AI$116:AI$119,0))</f>
        <v>1</v>
      </c>
      <c r="AJ126" s="36">
        <f t="array" ref="AJ126">MAX(IF($AI$116:$AI119=1,AJ$116:AJ$119,0))</f>
        <v>125.5</v>
      </c>
      <c r="AK126" s="36">
        <f t="array" ref="AK126">MAX(IF($AI$116:$AI119=1,AK$116:AK$119,0))</f>
        <v>0</v>
      </c>
      <c r="AL126" s="36">
        <f t="array" ref="AL126">MAX(IF($AI$116:$AI119=1,AL$116:AL$119,0))</f>
        <v>125.5</v>
      </c>
      <c r="AM126" s="36">
        <f t="array" ref="AM126">MAX(IF($AI$116:$AI119=1,AM$116:AM$119,0))</f>
        <v>0</v>
      </c>
      <c r="AN126" s="56">
        <f t="array" ref="AN126">MAX(IF($AI$116:$AI119=1,AN$116:AN$119,0))</f>
        <v>1</v>
      </c>
      <c r="AO126" s="36">
        <f t="array" ref="AO126">MAX(IF($AI$116:$AI119=1,AO$116:AO$119,0))</f>
        <v>124.5</v>
      </c>
      <c r="AP126" s="8"/>
      <c r="AV126"/>
    </row>
    <row r="127" spans="1:56" s="2" customFormat="1" ht="11.25" x14ac:dyDescent="0.2">
      <c r="A127" s="13" t="s">
        <v>60</v>
      </c>
      <c r="B127" s="21"/>
      <c r="C127" s="35"/>
      <c r="D127" s="76">
        <f t="array" ref="D127">SUM(D$116:D$119*$AI$116:$AI$119)/$AI$120</f>
        <v>0</v>
      </c>
      <c r="E127" s="76">
        <f t="array" ref="E127">SUM(E$116:E$119*$AI$116:$AI$119)/$AI$120</f>
        <v>0</v>
      </c>
      <c r="F127" s="35">
        <f t="array" ref="F127">SUM(F$116:F$119*$AI$116:$AI$119)/$AI$120</f>
        <v>0</v>
      </c>
      <c r="G127" s="27">
        <f t="array" ref="G127">SUM(G$116:G$119*$AI$116:$AI$119)/$AI$120</f>
        <v>0</v>
      </c>
      <c r="H127" s="37">
        <f t="array" ref="H127">SUM(H$116:H$119*$AI$116:$AI$119)/$AI$120</f>
        <v>0</v>
      </c>
      <c r="I127" s="37">
        <f t="array" ref="I127">SUM(I$116:I$119*$AI$116:$AI$119)/$AI$120</f>
        <v>0</v>
      </c>
      <c r="J127" s="38">
        <f t="array" ref="J127">SUM(J$116:J$119*$AI$116:$AI$119)/$AI$120</f>
        <v>0</v>
      </c>
      <c r="K127" s="38">
        <f t="array" ref="K127">SUM(K$116:K$119*$AI$116:$AI$119)/$AI$120</f>
        <v>0</v>
      </c>
      <c r="L127" s="27">
        <f t="array" ref="L127">SUM(L$116:L$119*$AI$116:$AI$119)/$AI$120</f>
        <v>0</v>
      </c>
      <c r="M127" s="27">
        <f t="array" ref="M127">SUM(M$116:M$119*$AI$116:$AI$119)/$AI$120</f>
        <v>0</v>
      </c>
      <c r="N127" s="39">
        <f t="array" ref="N127">SUM(N$116:N$119*$AI$116:$AI$119)/$AI$120</f>
        <v>0</v>
      </c>
      <c r="O127" s="39">
        <f t="array" ref="O127">SUM(O$116:O$119*$AI$116:$AI$119)/$AI$120</f>
        <v>0</v>
      </c>
      <c r="P127" s="92">
        <f t="array" ref="P127">SUM(P$116:P$119*$AI$116:$AI$119)/$AI$120</f>
        <v>0</v>
      </c>
      <c r="Q127" s="92">
        <f t="array" ref="Q127">SUM(Q$116:Q$119*$AI$116:$AI$119)/$AI$120</f>
        <v>0</v>
      </c>
      <c r="R127" s="36">
        <f t="array" ref="R127">SUM(R$116:R$119*$AI$116:$AI$119)/$AI$120</f>
        <v>0</v>
      </c>
      <c r="S127" s="36">
        <f t="array" ref="S127">SUM(S$116:S$119*$AI$116:$AI$119)/$AI$120</f>
        <v>0</v>
      </c>
      <c r="T127" s="36">
        <f t="array" ref="T127">SUM(T$116:T$119*$AI$116:$AI$119)/$AI$120</f>
        <v>0</v>
      </c>
      <c r="U127" s="36">
        <f t="array" ref="U127">SUM(U$116:U$119*$AI$116:$AI$119)/$AI$120</f>
        <v>0</v>
      </c>
      <c r="V127" s="36">
        <f t="array" ref="V127">SUM(V$116:V$119*$AI$116:$AI$119)/$AI$120</f>
        <v>0</v>
      </c>
      <c r="W127" s="36">
        <f t="array" ref="W127">SUM(W$116:W$119*$AI$116:$AI$119)/$AI$120</f>
        <v>0</v>
      </c>
      <c r="X127" s="36">
        <f t="array" ref="X127">SUM(X$116:X$119*$AI$116:$AI$119)/$AI$120</f>
        <v>0</v>
      </c>
      <c r="Y127" s="36">
        <f t="array" ref="Y127">SUM(Y$116:Y$119*$AI$116:$AI$119)/$AI$120</f>
        <v>0</v>
      </c>
      <c r="Z127" s="36">
        <f t="array" ref="Z127">SUM(Z$116:Z$119*$AI$116:$AI$119)/$AI$120</f>
        <v>0</v>
      </c>
      <c r="AA127" s="39">
        <f t="array" ref="AA127">SUM(AA$116:AA$119*$AI$116:$AI$119)/$AI$120</f>
        <v>0</v>
      </c>
      <c r="AB127" s="27">
        <f t="array" ref="AB127">SUM(AB$116:AB$119*$AI$116:$AI$119)/$AI$120</f>
        <v>0</v>
      </c>
      <c r="AC127" s="39">
        <f t="array" ref="AC127">SUM(AC$116:AC$119*$AI$116:$AI$119)/$AI$120</f>
        <v>0</v>
      </c>
      <c r="AD127" s="39">
        <f t="array" ref="AD127">SUM(AD$116:AD$119*$AI$116:$AI$119)/$AI$120</f>
        <v>0</v>
      </c>
      <c r="AE127" s="36">
        <f t="array" ref="AE127">SUM(AE$116:AE$119*$AI$116:$AI$119)/$AI$120</f>
        <v>0</v>
      </c>
      <c r="AF127" s="36">
        <f t="array" ref="AF127">SUM(AF$116:AF$119*$AI$116:$AI$119)/$AI$120</f>
        <v>0</v>
      </c>
      <c r="AG127" s="36">
        <f t="array" ref="AG127">SUM(AG$116:AG$119*$AI$116:$AI$119)/$AI$120</f>
        <v>0</v>
      </c>
      <c r="AH127" s="39">
        <f t="array" ref="AH127">SUM(AH$116:AH$119*$AI$116:$AI$119)/$AI$120</f>
        <v>0</v>
      </c>
      <c r="AI127" s="36">
        <f t="array" ref="AI127">SUM(AI$116:AI$119*$AI$116:$AI$119)/$AI$120</f>
        <v>1</v>
      </c>
      <c r="AJ127" s="36">
        <f>AJ124/$AI$124</f>
        <v>125.5</v>
      </c>
      <c r="AK127" s="36">
        <f>AK124/$AI$124</f>
        <v>0</v>
      </c>
      <c r="AL127" s="36">
        <f>AL124/$AI$124</f>
        <v>125.5</v>
      </c>
      <c r="AM127" s="36">
        <f>AM124/$AI$124</f>
        <v>0</v>
      </c>
      <c r="AN127" s="56">
        <f t="array" ref="AN127">SUM(AN$116:AN$119*$AI$116:$AI$119)/$AI$120</f>
        <v>1</v>
      </c>
      <c r="AO127" s="36">
        <f t="array" ref="AO127">SUM(AO$116:AO$119*$AI$116:$AI$119)/$AI$120</f>
        <v>124.5</v>
      </c>
      <c r="AP127" s="8"/>
      <c r="AV127"/>
    </row>
    <row r="128" spans="1:56" s="2" customFormat="1" ht="12.75" customHeight="1" x14ac:dyDescent="0.2">
      <c r="A128" s="13" t="s">
        <v>20</v>
      </c>
      <c r="B128" s="121" t="s">
        <v>33</v>
      </c>
      <c r="C128" s="122"/>
      <c r="D128" s="27">
        <f t="array" ref="D128">MIN(IF($AI$116:$AI$119 =1,1,999999999) * IF(D$116:D$119=D125,ROW(D$116:D$119),99999))</f>
        <v>116</v>
      </c>
      <c r="E128" s="27">
        <f t="array" ref="E128">MIN(IF($AI$116:$AI$119 =1,1,999999999) * IF(E$116:E$119=E125,ROW(E$116:E$119),99999))</f>
        <v>116</v>
      </c>
      <c r="F128" s="27">
        <f t="array" ref="F128">MIN(IF($AI$116:$AI$119 =1,1,999999999) * IF(F$116:F$119=F125,ROW(F$116:F$119),99999))</f>
        <v>116</v>
      </c>
      <c r="G128" s="27">
        <f t="array" ref="G128">MIN(IF($AI$116:$AI$119 =1,1,999999999) * IF(G$116:G$119=G125,ROW(G$116:G$119),99999))</f>
        <v>116</v>
      </c>
      <c r="H128" s="27">
        <f t="array" ref="H128">MIN(IF($AI$116:$AI$119 =1,1,999999999) * IF(H$116:H$119=H125,ROW(H$116:H$119),99999))</f>
        <v>116</v>
      </c>
      <c r="I128" s="27">
        <f t="array" ref="I128">MIN(IF($AI$116:$AI$119 =1,1,999999999) * IF(I$116:I$119=I125,ROW(I$116:I$119),99999))</f>
        <v>116</v>
      </c>
      <c r="J128" s="27">
        <f t="array" ref="J128">MIN(IF($AI$116:$AI$119 =1,1,999999999) * IF(J$116:J$119=J125,ROW(J$116:J$119),99999))</f>
        <v>116</v>
      </c>
      <c r="K128" s="27">
        <f t="array" ref="K128">MIN(IF($AI$116:$AI$119 =1,1,999999999) * IF(K$116:K$119=K125,ROW(K$116:K$119),99999))</f>
        <v>116</v>
      </c>
      <c r="L128" s="27">
        <f t="array" ref="L128">MIN(IF($AI$116:$AI$119 =1,1,999999999) * IF(L$116:L$119=L125,ROW(L$116:L$119),99999))</f>
        <v>116</v>
      </c>
      <c r="M128" s="27">
        <f t="array" ref="M128">MIN(IF($AI$116:$AI$119 =1,1,999999999) * IF(M$116:M$119=M125,ROW(M$116:M$119),99999))</f>
        <v>116</v>
      </c>
      <c r="N128" s="27">
        <f t="array" ref="N128">MIN(IF($AI$116:$AI$119 =1,1,999999999) * IF(N$116:N$119=N125,ROW(N$116:N$119),99999))</f>
        <v>116</v>
      </c>
      <c r="O128" s="27">
        <f t="array" ref="O128">MIN(IF($AI$116:$AI$119 =1,1,999999999) * IF(O$116:O$119=O125,ROW(O$116:O$119),99999))</f>
        <v>116</v>
      </c>
      <c r="P128" s="92">
        <f t="array" ref="P128">MIN(IF($AI$116:$AI$119 =1,1,999999999) * IF(P$116:P$119=P125,ROW(P$116:P$119),99999))</f>
        <v>116</v>
      </c>
      <c r="Q128" s="92">
        <f t="array" ref="Q128">MIN(IF($AI$116:$AI$119 =1,1,999999999) * IF(Q$116:Q$119=Q125,ROW(Q$116:Q$119),99999))</f>
        <v>116</v>
      </c>
      <c r="R128" s="27">
        <f t="array" ref="R128">MIN(IF($AI$116:$AI$119 =1,1,999999999) * IF(R$116:R$119=R125,ROW(R$116:R$119),99999))</f>
        <v>116</v>
      </c>
      <c r="S128" s="27">
        <f t="array" ref="S128">MIN(IF($AI$116:$AI$119 =1,1,999999999) * IF(S$116:S$119=S125,ROW(S$116:S$119),99999))</f>
        <v>116</v>
      </c>
      <c r="T128" s="27">
        <f t="array" ref="T128">MIN(IF($AI$116:$AI$119 =1,1,999999999) * IF(T$116:T$119=T125,ROW(T$116:T$119),99999))</f>
        <v>116</v>
      </c>
      <c r="U128" s="27">
        <f t="array" ref="U128">MIN(IF($AI$116:$AI$119 =1,1,999999999) * IF(U$116:U$119=U125,ROW(U$116:U$119),99999))</f>
        <v>116</v>
      </c>
      <c r="V128" s="27">
        <f t="array" ref="V128">MIN(IF($AI$116:$AI$119 =1,1,999999999) * IF(V$116:V$119=V125,ROW(V$116:V$119),99999))</f>
        <v>116</v>
      </c>
      <c r="W128" s="27">
        <f t="array" ref="W128">MIN(IF($AI$116:$AI$119 =1,1,999999999) * IF(W$116:W$119=W125,ROW(W$116:W$119),99999))</f>
        <v>116</v>
      </c>
      <c r="X128" s="27">
        <f t="array" ref="X128">MIN(IF($AI$116:$AI$119 =1,1,999999999) * IF(X$116:X$119=X125,ROW(X$116:X$119),99999))</f>
        <v>116</v>
      </c>
      <c r="Y128" s="27">
        <f t="array" ref="Y128">MIN(IF($AI$116:$AI$119 =1,1,999999999) * IF(Y$116:Y$119=Y125,ROW(Y$116:Y$119),99999))</f>
        <v>116</v>
      </c>
      <c r="Z128" s="27">
        <f t="array" ref="Z128">MIN(IF($AI$116:$AI$119 =1,1,999999999) * IF(Z$116:Z$119=Z125,ROW(Z$116:Z$119),99999))</f>
        <v>116</v>
      </c>
      <c r="AA128" s="27">
        <f t="array" ref="AA128">MIN(IF($AI$116:$AI$119 =1,1,999999999) * IF(AA$116:AA$119=AA125,ROW(AA$116:AA$119),99999))</f>
        <v>116</v>
      </c>
      <c r="AB128" s="27">
        <f t="array" ref="AB128">MIN(IF($AI$116:$AI$119 =1,1,999999999) * IF(AB$116:AB$119=AB125,ROW(AB$116:AB$119),99999))</f>
        <v>116</v>
      </c>
      <c r="AC128" s="27">
        <f t="array" ref="AC128">MIN(IF($AI$116:$AI$119 =1,1,999999999) * IF(AC$116:AC$119=AC125,ROW(AC$116:AC$119),99999))</f>
        <v>116</v>
      </c>
      <c r="AD128" s="27">
        <f t="array" ref="AD128">MIN(IF($AI$116:$AI$119 =1,1,999999999) * IF(AD$116:AD$119=AD125,ROW(AD$116:AD$119),99999))</f>
        <v>116</v>
      </c>
      <c r="AE128" s="27">
        <f t="array" ref="AE128">MIN(IF($AI$116:$AI$119 =1,1,999999999) * IF(AE$116:AE$119=AE125,ROW(AE$116:AE$119),99999))</f>
        <v>116</v>
      </c>
      <c r="AF128" s="27">
        <f t="array" ref="AF128">MIN(IF($AI$116:$AI$119 =1,1,999999999) * IF(AF$116:AF$119=AF125,ROW(AF$116:AF$119),99999))</f>
        <v>116</v>
      </c>
      <c r="AG128" s="27">
        <f t="array" ref="AG128">MIN(IF($AI$116:$AI$119 =1,1,999999999) * IF(AG$116:AG$119=AG125,ROW(AG$116:AG$119),99999))</f>
        <v>116</v>
      </c>
      <c r="AH128" s="27">
        <f t="array" ref="AH128">MIN(IF($AI$116:$AI$119 =1,1,999999999) * IF(AH$116:AH$119=AH125,ROW(AH$116:AH$119),99999))</f>
        <v>116</v>
      </c>
      <c r="AI128" s="27">
        <f>AJ120/AI120</f>
        <v>125.5</v>
      </c>
      <c r="AJ128" s="27">
        <f t="array" ref="AJ128">MIN(IF(AJ$116:AJ$119=AJ125,ROW(AJ$116:AJ$119),99999))</f>
        <v>116</v>
      </c>
      <c r="AK128" s="27">
        <f t="array" ref="AK128">MIN(IF(AK$116:AK$119=AK125,ROW(AK$116:AK$119),99999))</f>
        <v>116</v>
      </c>
      <c r="AL128" s="27"/>
      <c r="AM128" s="27"/>
      <c r="AN128" s="27">
        <f>AO120/AN120</f>
        <v>124.5</v>
      </c>
      <c r="AO128" s="27">
        <f t="array" ref="AO128">MIN(IF(AO$116:AO$119=AO125,ROW(AO$116:AO$119),99999))</f>
        <v>116</v>
      </c>
      <c r="AP128" s="8"/>
      <c r="AR128"/>
      <c r="AV128"/>
    </row>
    <row r="129" spans="1:48" s="2" customFormat="1" ht="12.75" customHeight="1" thickBot="1" x14ac:dyDescent="0.25">
      <c r="A129" s="13" t="s">
        <v>21</v>
      </c>
      <c r="B129" s="123"/>
      <c r="C129" s="123"/>
      <c r="D129" s="27">
        <f t="array" ref="D129">MIN(IF($AI$116:$AI$119 =1,1,999999999) * IF(D$116:D$119=D126,ROW(D$116:D$119),99999))</f>
        <v>116</v>
      </c>
      <c r="E129" s="27">
        <f t="array" ref="E129">MIN(IF($AI$116:$AI$119 =1,1,999999999) * IF(E$116:E$119=E126,ROW(E$116:E$119),99999))</f>
        <v>116</v>
      </c>
      <c r="F129" s="27">
        <f t="array" ref="F129">MIN(IF($AI$116:$AI$119 =1,1,999999999) * IF(F$116:F$119=F126,ROW(F$116:F$119),99999))</f>
        <v>116</v>
      </c>
      <c r="G129" s="27">
        <f t="array" ref="G129">MIN(IF($AI$116:$AI$119 =1,1,999999999) * IF(G$116:G$119=G126,ROW(G$116:G$119),99999))</f>
        <v>116</v>
      </c>
      <c r="H129" s="27">
        <f t="array" ref="H129">MIN(IF($AI$116:$AI$119 =1,1,999999999) * IF(H$116:H$119=H126,ROW(H$116:H$119),99999))</f>
        <v>116</v>
      </c>
      <c r="I129" s="27">
        <f t="array" ref="I129">MIN(IF($AI$116:$AI$119 =1,1,999999999) * IF(I$116:I$119=I126,ROW(I$116:I$119),99999))</f>
        <v>116</v>
      </c>
      <c r="J129" s="27">
        <f t="array" ref="J129">MIN(IF($AI$116:$AI$119 =1,1,999999999) * IF(J$116:J$119=J126,ROW(J$116:J$119),99999))</f>
        <v>116</v>
      </c>
      <c r="K129" s="27">
        <f t="array" ref="K129">MIN(IF($AI$116:$AI$119 =1,1,999999999) * IF(K$116:K$119=K126,ROW(K$116:K$119),99999))</f>
        <v>116</v>
      </c>
      <c r="L129" s="27">
        <f t="array" ref="L129">MIN(IF($AI$116:$AI$119 =1,1,999999999) * IF(L$116:L$119=L126,ROW(L$116:L$119),99999))</f>
        <v>116</v>
      </c>
      <c r="M129" s="27">
        <f t="array" ref="M129">MIN(IF($AI$116:$AI$119 =1,1,999999999) * IF(M$116:M$119=M126,ROW(M$116:M$119),99999))</f>
        <v>116</v>
      </c>
      <c r="N129" s="27">
        <f t="array" ref="N129">MIN(IF($AI$116:$AI$119 =1,1,999999999) * IF(N$116:N$119=N126,ROW(N$116:N$119),99999))</f>
        <v>116</v>
      </c>
      <c r="O129" s="27">
        <f t="array" ref="O129">MIN(IF($AI$116:$AI$119 =1,1,999999999) * IF(O$116:O$119=O126,ROW(O$116:O$119),99999))</f>
        <v>116</v>
      </c>
      <c r="P129" s="92">
        <f t="array" ref="P129">MIN(IF($AI$116:$AI$119 =1,1,999999999) * IF(P$116:P$119=P126,ROW(P$116:P$119),99999))</f>
        <v>116</v>
      </c>
      <c r="Q129" s="92">
        <f t="array" ref="Q129">MIN(IF($AI$116:$AI$119 =1,1,999999999) * IF(Q$116:Q$119=Q126,ROW(Q$116:Q$119),99999))</f>
        <v>116</v>
      </c>
      <c r="R129" s="27">
        <f t="array" ref="R129">MIN(IF($AI$116:$AI$119 =1,1,999999999) * IF(R$116:R$119=R126,ROW(R$116:R$119),99999))</f>
        <v>116</v>
      </c>
      <c r="S129" s="27">
        <f t="array" ref="S129">MIN(IF($AI$116:$AI$119 =1,1,999999999) * IF(S$116:S$119=S126,ROW(S$116:S$119),99999))</f>
        <v>116</v>
      </c>
      <c r="T129" s="27">
        <f t="array" ref="T129">MIN(IF($AI$116:$AI$119 =1,1,999999999) * IF(T$116:T$119=T126,ROW(T$116:T$119),99999))</f>
        <v>116</v>
      </c>
      <c r="U129" s="27">
        <f t="array" ref="U129">MIN(IF($AI$116:$AI$119 =1,1,999999999) * IF(U$116:U$119=U126,ROW(U$116:U$119),99999))</f>
        <v>116</v>
      </c>
      <c r="V129" s="27">
        <f t="array" ref="V129">MIN(IF($AI$116:$AI$119 =1,1,999999999) * IF(V$116:V$119=V126,ROW(V$116:V$119),99999))</f>
        <v>116</v>
      </c>
      <c r="W129" s="27">
        <f t="array" ref="W129">MIN(IF($AI$116:$AI$119 =1,1,999999999) * IF(W$116:W$119=W126,ROW(W$116:W$119),99999))</f>
        <v>116</v>
      </c>
      <c r="X129" s="27">
        <f t="array" ref="X129">MIN(IF($AI$116:$AI$119 =1,1,999999999) * IF(X$116:X$119=X126,ROW(X$116:X$119),99999))</f>
        <v>116</v>
      </c>
      <c r="Y129" s="27">
        <f t="array" ref="Y129">MIN(IF($AI$116:$AI$119 =1,1,999999999) * IF(Y$116:Y$119=Y126,ROW(Y$116:Y$119),99999))</f>
        <v>116</v>
      </c>
      <c r="Z129" s="27">
        <f t="array" ref="Z129">MIN(IF($AI$116:$AI$119 =1,1,999999999) * IF(Z$116:Z$119=Z126,ROW(Z$116:Z$119),99999))</f>
        <v>116</v>
      </c>
      <c r="AA129" s="27">
        <f t="array" ref="AA129">MIN(IF($AI$116:$AI$119 =1,1,999999999) * IF(AA$116:AA$119=AA126,ROW(AA$116:AA$119),99999))</f>
        <v>116</v>
      </c>
      <c r="AB129" s="27">
        <f t="array" ref="AB129">MIN(IF($AI$116:$AI$119 =1,1,999999999) * IF(AB$116:AB$119=AB126,ROW(AB$116:AB$119),99999))</f>
        <v>116</v>
      </c>
      <c r="AC129" s="27">
        <f t="array" ref="AC129">MIN(IF($AI$116:$AI$119 =1,1,999999999) * IF(AC$116:AC$119=AC126,ROW(AC$116:AC$119),99999))</f>
        <v>116</v>
      </c>
      <c r="AD129" s="27">
        <f t="array" ref="AD129">MIN(IF($AI$116:$AI$119 =1,1,999999999) * IF(AD$116:AD$119=AD126,ROW(AD$116:AD$119),99999))</f>
        <v>116</v>
      </c>
      <c r="AE129" s="27">
        <f t="array" ref="AE129">MIN(IF($AI$116:$AI$119 =1,1,999999999) * IF(AE$116:AE$119=AE126,ROW(AE$116:AE$119),99999))</f>
        <v>116</v>
      </c>
      <c r="AF129" s="27">
        <f t="array" ref="AF129">MIN(IF($AI$116:$AI$119 =1,1,999999999) * IF(AF$116:AF$119=AF126,ROW(AF$116:AF$119),99999))</f>
        <v>116</v>
      </c>
      <c r="AG129" s="27">
        <f t="array" ref="AG129">MIN(IF($AI$116:$AI$119 =1,1,999999999) * IF(AG$116:AG$119=AG126,ROW(AG$116:AG$119),99999))</f>
        <v>116</v>
      </c>
      <c r="AH129" s="27">
        <f t="array" ref="AH129">MIN(IF($AI$116:$AI$119 =1,1,999999999) * IF(AH$116:AH$119=AH126,ROW(AH$116:AH$119),99999))</f>
        <v>116</v>
      </c>
      <c r="AI129" s="39">
        <f t="array" ref="AI129">SUM(IF(UPPER(C116:C119)="M",AI116:AI119,0))/AI120</f>
        <v>0</v>
      </c>
      <c r="AJ129" s="27">
        <f t="array" ref="AJ129">MAX(IF(AJ$116:AJ$119=AJ126,ROW(AJ$116:AJ$119),0))</f>
        <v>119</v>
      </c>
      <c r="AK129" s="27">
        <f t="array" ref="AK129">MAX(IF(AK$116:AK$119=AK126,ROW(AK$116:AK$119),0))</f>
        <v>119</v>
      </c>
      <c r="AL129" s="27"/>
      <c r="AM129" s="27"/>
      <c r="AN129" s="39">
        <f t="array" ref="AN129">SUM(IF(UPPER(C116:C119)="M",AN116:AN119,0))/AN120</f>
        <v>0</v>
      </c>
      <c r="AO129" s="27">
        <f t="array" ref="AO129">MAX(IF(AO$116:AO$119=AO126,ROW(AO$116:AO$119),0))</f>
        <v>119</v>
      </c>
      <c r="AP129" s="8"/>
      <c r="AR129"/>
      <c r="AV129"/>
    </row>
    <row r="130" spans="1:48" s="2" customFormat="1" ht="11.25" x14ac:dyDescent="0.2">
      <c r="A130" s="7"/>
      <c r="B130" s="7"/>
      <c r="C130" s="7"/>
      <c r="D130" s="73"/>
      <c r="E130" s="73"/>
      <c r="F130" s="7"/>
      <c r="G130" s="7"/>
      <c r="H130" s="14"/>
      <c r="I130" s="14"/>
      <c r="J130" s="14"/>
      <c r="K130" s="14"/>
      <c r="L130" s="7"/>
      <c r="M130" s="7"/>
      <c r="N130" s="7"/>
      <c r="O130" s="7"/>
      <c r="P130" s="93"/>
      <c r="Q130" s="93"/>
      <c r="R130" s="7"/>
      <c r="S130" s="7"/>
      <c r="T130" s="7"/>
      <c r="U130" s="7"/>
      <c r="V130" s="7"/>
      <c r="W130" s="7"/>
      <c r="X130" s="7"/>
      <c r="Y130" s="7"/>
      <c r="Z130" s="7"/>
      <c r="AA130" s="14"/>
      <c r="AB130" s="7"/>
      <c r="AC130" s="7"/>
      <c r="AD130" s="7"/>
      <c r="AE130" s="7"/>
      <c r="AF130" s="7"/>
      <c r="AG130" s="7"/>
      <c r="AH130" s="14"/>
      <c r="AI130" s="14"/>
      <c r="AJ130" s="14"/>
      <c r="AK130" s="14"/>
      <c r="AL130" s="14"/>
      <c r="AM130" s="14"/>
      <c r="AN130" s="14"/>
      <c r="AO130" s="14"/>
      <c r="AV130"/>
    </row>
    <row r="131" spans="1:48" s="2" customFormat="1" ht="12.75" x14ac:dyDescent="0.2">
      <c r="A131"/>
      <c r="B131"/>
      <c r="D131" s="68"/>
      <c r="E131" s="63"/>
      <c r="F131" s="3"/>
      <c r="G131" s="3"/>
      <c r="H131" s="1"/>
      <c r="I131" s="1"/>
      <c r="L131" s="3"/>
      <c r="M131" s="3"/>
      <c r="N131" s="3"/>
      <c r="O131" s="1"/>
      <c r="P131" s="1"/>
      <c r="Q131" s="1"/>
      <c r="R131" s="1"/>
      <c r="S131" s="1"/>
      <c r="AU131"/>
    </row>
    <row r="132" spans="1:48" s="2" customFormat="1" ht="15.75" x14ac:dyDescent="0.25">
      <c r="A132" s="82" t="s">
        <v>50</v>
      </c>
      <c r="B132"/>
      <c r="C132"/>
      <c r="D132" s="63"/>
      <c r="E132" s="63"/>
      <c r="F132"/>
      <c r="G132"/>
      <c r="H132"/>
      <c r="I132" s="3"/>
      <c r="J132" s="3"/>
      <c r="K132" s="3"/>
      <c r="L132" s="3"/>
      <c r="M132" s="3"/>
      <c r="N132" s="3"/>
      <c r="P132" s="1"/>
      <c r="Q132" s="1"/>
      <c r="AS132"/>
    </row>
    <row r="133" spans="1:48" s="2" customFormat="1" ht="12" thickBot="1" x14ac:dyDescent="0.25">
      <c r="A133" s="29"/>
      <c r="B133" s="29"/>
      <c r="C133" s="29"/>
      <c r="D133" s="74"/>
      <c r="E133" s="74"/>
      <c r="F133" s="29"/>
      <c r="G133" s="29"/>
      <c r="H133" s="29"/>
      <c r="I133" s="29"/>
      <c r="J133" s="29"/>
      <c r="K133" s="29"/>
      <c r="L133" s="29"/>
      <c r="M133" s="29"/>
      <c r="N133" s="29"/>
      <c r="O133" s="29"/>
      <c r="P133" s="1"/>
      <c r="Q133"/>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row>
    <row r="134" spans="1:48" s="2" customFormat="1" ht="27.75" x14ac:dyDescent="0.2">
      <c r="A134" s="13" t="str">
        <f>"Age " &amp; TEXT(AJ121,"##") &amp; " to " &amp;TEXT( AJ122,"##")</f>
        <v>Age 126 to 126</v>
      </c>
      <c r="B134" s="57"/>
      <c r="C134" s="57" t="s">
        <v>51</v>
      </c>
      <c r="D134" s="77" t="s">
        <v>52</v>
      </c>
      <c r="E134" s="77" t="str">
        <f>"Service " &amp; TEXT(AL121,"#0") &amp; " to " &amp;TEXT( AL122,"##")</f>
        <v>Service 126 to 126</v>
      </c>
      <c r="F134" s="57" t="s">
        <v>76</v>
      </c>
      <c r="G134" s="57" t="s">
        <v>53</v>
      </c>
      <c r="H134" s="57" t="str">
        <f>"Acccrued " &amp; TEXT(AM121,"#0.00") &amp; " to " &amp;TEXT( AM122,"##0.00")</f>
        <v>Acccrued 0.00 to 0.00</v>
      </c>
      <c r="I134" s="57"/>
      <c r="J134" s="57" t="s">
        <v>54</v>
      </c>
      <c r="K134" s="57" t="s">
        <v>55</v>
      </c>
      <c r="L134" s="57" t="s">
        <v>48</v>
      </c>
      <c r="M134" s="57" t="s">
        <v>56</v>
      </c>
      <c r="N134" s="57" t="s">
        <v>57</v>
      </c>
      <c r="O134" s="57" t="s">
        <v>56</v>
      </c>
      <c r="P134" s="30"/>
      <c r="Q134"/>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row>
    <row r="135" spans="1:48" s="2" customFormat="1" ht="11.25" x14ac:dyDescent="0.2">
      <c r="A135" s="90">
        <f>AJ121</f>
        <v>125.5</v>
      </c>
      <c r="B135" s="58">
        <f t="array" ref="B135:B155">FREQUENCY(IF($AI$116:$AI$119&gt;0,AJ$116:AJ$119,""),A$135:A$155)/$AI$120</f>
        <v>1</v>
      </c>
      <c r="C135" s="59">
        <f>L135/$K135</f>
        <v>125.5</v>
      </c>
      <c r="D135" s="87">
        <f>M135/$K135</f>
        <v>0</v>
      </c>
      <c r="E135" s="63">
        <f>AL121</f>
        <v>125.5</v>
      </c>
      <c r="F135" s="58">
        <f t="array" ref="F135:F155">FREQUENCY(IF($AI$116:$AI$119&gt;0,AL$116:AL$119,""),E$135:E$155)/$AI$120*100</f>
        <v>100</v>
      </c>
      <c r="G135" s="59">
        <f>O135/$N135</f>
        <v>0</v>
      </c>
      <c r="H135" s="86">
        <f>AM121</f>
        <v>0</v>
      </c>
      <c r="I135" s="58">
        <f t="array" ref="I135:I155">FREQUENCY(AM$116:AM$119,H$135:H$155)/$AI$120</f>
        <v>1</v>
      </c>
      <c r="J135" s="58">
        <v>0</v>
      </c>
      <c r="K135">
        <f t="array" ref="K135">SUM(IF($AJ$116:$AJ$119&lt;=$A135,AI$116:AI$119,""))</f>
        <v>4</v>
      </c>
      <c r="L135" s="60">
        <f t="array" ref="L135">SUM(IF($AJ$116:$AJ$119&lt;=$A135,AL$116:AL$119,0))</f>
        <v>502</v>
      </c>
      <c r="M135" s="55">
        <f t="array" ref="M135">SUM(IF($AJ$116:$AJ$119&lt;=$A135,AM$116:AM$119,0))</f>
        <v>0</v>
      </c>
      <c r="N135">
        <f t="array" ref="N135">SUM(IF($AL$116:$AL$119&lt;=$E135,AI$116:AI$119,""))</f>
        <v>4</v>
      </c>
      <c r="O135">
        <f t="array" ref="O135">SUM(IF($AL$116:$AL$119&lt;=$E135,AM$116:AM$119,""))</f>
        <v>0</v>
      </c>
      <c r="P135" s="30"/>
      <c r="Q135"/>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row>
    <row r="136" spans="1:48" s="2" customFormat="1" ht="11.25" x14ac:dyDescent="0.2">
      <c r="A136" s="90">
        <f>A135+(AJ$122-AJ$121)/20</f>
        <v>125.5</v>
      </c>
      <c r="B136" s="58">
        <v>0</v>
      </c>
      <c r="C136" s="60" t="str">
        <f>IF($K136-$K135&lt;&gt;0,(L136-L135)/($K136-$K135),"")</f>
        <v/>
      </c>
      <c r="D136" s="55" t="str">
        <f>IF($K136-$K135&lt;&gt;0,(M136-M135)/($K136-$K135),"")</f>
        <v/>
      </c>
      <c r="E136" s="63">
        <f>E135+(AL$122-AL$121)/20</f>
        <v>125.5</v>
      </c>
      <c r="F136" s="58">
        <v>0</v>
      </c>
      <c r="G136" s="60" t="str">
        <f>IF($N136-$N135&lt;&gt;0,(O136-O135)/($N136-$N135),"")</f>
        <v/>
      </c>
      <c r="H136" s="86">
        <f>H135+(AM$122-AM$121)/20</f>
        <v>0</v>
      </c>
      <c r="I136" s="58">
        <v>0</v>
      </c>
      <c r="J136" s="58">
        <v>0.05</v>
      </c>
      <c r="K136">
        <f t="array" ref="K136">SUM(IF($AJ$116:$AJ$119&lt;=$A136,AI$116:AI$119,""))</f>
        <v>4</v>
      </c>
      <c r="L136" s="60">
        <f t="array" ref="L136">SUM(IF($AJ$116:$AJ$119&lt;=$A136,AL$116:AL$119,0))</f>
        <v>502</v>
      </c>
      <c r="M136" s="55">
        <f t="array" ref="M136">SUM(IF($AJ$116:$AJ$119&lt;=$A136,AM$116:AM$119,0))</f>
        <v>0</v>
      </c>
      <c r="N136">
        <f t="array" ref="N136">SUM(IF($AL$116:$AL$119&lt;=$E136,AI$116:AI$119,""))</f>
        <v>4</v>
      </c>
      <c r="O136">
        <f t="array" ref="O136">SUM(IF($AL$116:$AL$119&lt;=$E136,AM$116:AM$119,""))</f>
        <v>0</v>
      </c>
      <c r="P136" s="30"/>
      <c r="Q136"/>
      <c r="R136" s="1"/>
      <c r="S136" s="1"/>
      <c r="T136" s="1"/>
      <c r="U136" s="1"/>
      <c r="V136" s="1"/>
      <c r="W136" s="1"/>
      <c r="X136" s="1"/>
      <c r="Y136" s="1"/>
      <c r="Z136" s="1"/>
      <c r="AA136"/>
      <c r="AB136" s="1"/>
      <c r="AC136" s="1"/>
      <c r="AD136" s="1"/>
      <c r="AE136" s="1"/>
      <c r="AF136" s="1"/>
      <c r="AG136" s="1"/>
      <c r="AH136" s="1"/>
      <c r="AI136" s="1"/>
      <c r="AJ136" s="1"/>
      <c r="AK136" s="1"/>
      <c r="AL136" s="1"/>
      <c r="AM136"/>
    </row>
    <row r="137" spans="1:48" s="2" customFormat="1" ht="11.25" x14ac:dyDescent="0.2">
      <c r="A137" s="90">
        <f>2*A136-A135</f>
        <v>125.5</v>
      </c>
      <c r="B137" s="58">
        <v>0</v>
      </c>
      <c r="C137" s="60" t="str">
        <f t="shared" ref="C137:D155" si="25">IF($K137-$K136&lt;&gt;0,(L137-L136)/($K137-$K136),"")</f>
        <v/>
      </c>
      <c r="D137" s="55" t="str">
        <f t="shared" si="25"/>
        <v/>
      </c>
      <c r="E137" s="63">
        <f>2*E136-E135</f>
        <v>125.5</v>
      </c>
      <c r="F137" s="58">
        <v>0</v>
      </c>
      <c r="G137" s="60" t="str">
        <f t="shared" ref="G137:G155" si="26">IF($N137-$N136&lt;&gt;0,(O137-O136)/($N137-$N136),"")</f>
        <v/>
      </c>
      <c r="H137" s="86">
        <f>2*H136-H135</f>
        <v>0</v>
      </c>
      <c r="I137" s="58">
        <v>0</v>
      </c>
      <c r="J137" s="58">
        <f>2*J136-J135</f>
        <v>0.1</v>
      </c>
      <c r="K137">
        <f t="array" ref="K137">SUM(IF($AJ$116:$AJ$119&lt;=$A137,AI$116:AI$119,""))</f>
        <v>4</v>
      </c>
      <c r="L137" s="60">
        <f t="array" ref="L137">SUM(IF($AJ$116:$AJ$119&lt;=$A137,AL$116:AL$119,0))</f>
        <v>502</v>
      </c>
      <c r="M137" s="55">
        <f t="array" ref="M137">SUM(IF($AJ$116:$AJ$119&lt;=$A137,AM$116:AM$119,0))</f>
        <v>0</v>
      </c>
      <c r="N137">
        <f t="array" ref="N137">SUM(IF($AL$116:$AL$119&lt;=$E137,AI$116:AI$119,""))</f>
        <v>4</v>
      </c>
      <c r="O137">
        <f t="array" ref="O137">SUM(IF($AL$116:$AL$119&lt;=$E137,AM$116:AM$119,""))</f>
        <v>0</v>
      </c>
      <c r="P137" s="30"/>
      <c r="Q137" s="1"/>
      <c r="R137" s="1"/>
      <c r="S137" s="1"/>
      <c r="T137" s="1"/>
      <c r="U137" s="1"/>
      <c r="V137" s="1"/>
      <c r="W137" s="1"/>
      <c r="X137" s="1"/>
      <c r="Y137" s="1"/>
      <c r="Z137" s="1"/>
      <c r="AA137"/>
      <c r="AB137" s="1"/>
      <c r="AC137" s="1"/>
      <c r="AD137" s="1"/>
      <c r="AE137" s="1"/>
      <c r="AF137" s="1"/>
      <c r="AG137" s="1"/>
      <c r="AH137" s="1"/>
      <c r="AI137" s="1"/>
      <c r="AJ137" s="1"/>
      <c r="AK137" s="1"/>
      <c r="AL137" s="1"/>
      <c r="AM137"/>
    </row>
    <row r="138" spans="1:48" s="2" customFormat="1" ht="11.25" x14ac:dyDescent="0.2">
      <c r="A138" s="90">
        <f t="shared" ref="A138:A155" si="27">2*A137-A136</f>
        <v>125.5</v>
      </c>
      <c r="B138" s="58">
        <v>0</v>
      </c>
      <c r="C138" s="60" t="str">
        <f t="shared" si="25"/>
        <v/>
      </c>
      <c r="D138" s="55" t="str">
        <f t="shared" si="25"/>
        <v/>
      </c>
      <c r="E138" s="63">
        <f t="shared" ref="E138:E155" si="28">2*E137-E136</f>
        <v>125.5</v>
      </c>
      <c r="F138" s="58">
        <v>0</v>
      </c>
      <c r="G138" s="60" t="str">
        <f t="shared" si="26"/>
        <v/>
      </c>
      <c r="H138" s="86">
        <f t="shared" ref="H138:H155" si="29">2*H137-H136</f>
        <v>0</v>
      </c>
      <c r="I138" s="58">
        <v>0</v>
      </c>
      <c r="J138" s="58">
        <f t="shared" ref="J138:J155" si="30">2*J137-J136</f>
        <v>0.15000000000000002</v>
      </c>
      <c r="K138">
        <f t="array" ref="K138">SUM(IF($AJ$116:$AJ$119&lt;=$A138,AI$116:AI$119,""))</f>
        <v>4</v>
      </c>
      <c r="L138" s="60">
        <f t="array" ref="L138">SUM(IF($AJ$116:$AJ$119&lt;=$A138,AL$116:AL$119,0))</f>
        <v>502</v>
      </c>
      <c r="M138" s="55">
        <f t="array" ref="M138">SUM(IF($AJ$116:$AJ$119&lt;=$A138,AM$116:AM$119,0))</f>
        <v>0</v>
      </c>
      <c r="N138">
        <f t="array" ref="N138">SUM(IF($AL$116:$AL$119&lt;=$E138,AI$116:AI$119,""))</f>
        <v>4</v>
      </c>
      <c r="O138">
        <f t="array" ref="O138">SUM(IF($AL$116:$AL$119&lt;=$E138,AM$116:AM$119,""))</f>
        <v>0</v>
      </c>
      <c r="P138" s="30"/>
      <c r="Q138" s="1"/>
      <c r="R138" s="1"/>
      <c r="S138" s="1"/>
      <c r="T138" s="1"/>
      <c r="U138" s="1"/>
      <c r="V138" s="1"/>
      <c r="W138" s="1"/>
      <c r="X138" s="1"/>
      <c r="Y138" s="1"/>
      <c r="Z138" s="1"/>
      <c r="AA138"/>
      <c r="AB138" s="1"/>
      <c r="AC138" s="1"/>
      <c r="AD138" s="1"/>
      <c r="AE138" s="1"/>
      <c r="AF138" s="1"/>
      <c r="AG138" s="1"/>
      <c r="AH138" s="1"/>
      <c r="AI138" s="1"/>
      <c r="AJ138" s="1"/>
      <c r="AK138" s="1"/>
      <c r="AL138" s="1"/>
      <c r="AM138"/>
    </row>
    <row r="139" spans="1:48" s="2" customFormat="1" ht="11.25" x14ac:dyDescent="0.2">
      <c r="A139" s="90">
        <f t="shared" si="27"/>
        <v>125.5</v>
      </c>
      <c r="B139" s="58">
        <v>0</v>
      </c>
      <c r="C139" s="60" t="str">
        <f t="shared" si="25"/>
        <v/>
      </c>
      <c r="D139" s="55" t="str">
        <f t="shared" si="25"/>
        <v/>
      </c>
      <c r="E139" s="63">
        <f t="shared" si="28"/>
        <v>125.5</v>
      </c>
      <c r="F139" s="58">
        <v>0</v>
      </c>
      <c r="G139" s="60" t="str">
        <f t="shared" si="26"/>
        <v/>
      </c>
      <c r="H139" s="86">
        <f t="shared" si="29"/>
        <v>0</v>
      </c>
      <c r="I139" s="58">
        <v>0</v>
      </c>
      <c r="J139" s="58">
        <f t="shared" si="30"/>
        <v>0.20000000000000004</v>
      </c>
      <c r="K139">
        <f t="array" ref="K139">SUM(IF($AJ$116:$AJ$119&lt;=$A139,AI$116:AI$119,""))</f>
        <v>4</v>
      </c>
      <c r="L139" s="60">
        <f t="array" ref="L139">SUM(IF($AJ$116:$AJ$119&lt;=$A139,AL$116:AL$119,0))</f>
        <v>502</v>
      </c>
      <c r="M139" s="55">
        <f t="array" ref="M139">SUM(IF($AJ$116:$AJ$119&lt;=$A139,AM$116:AM$119,0))</f>
        <v>0</v>
      </c>
      <c r="N139">
        <f t="array" ref="N139">SUM(IF($AL$116:$AL$119&lt;=$E139,AI$116:AI$119,""))</f>
        <v>4</v>
      </c>
      <c r="O139">
        <f t="array" ref="O139">SUM(IF($AL$116:$AL$119&lt;=$E139,AM$116:AM$119,""))</f>
        <v>0</v>
      </c>
      <c r="P139" s="30"/>
      <c r="Q139" s="1"/>
      <c r="R139" s="1"/>
      <c r="S139" s="1"/>
      <c r="T139" s="1"/>
      <c r="U139" s="1"/>
      <c r="V139" s="1"/>
      <c r="W139" s="1"/>
      <c r="X139" s="1"/>
      <c r="Y139" s="1"/>
      <c r="Z139" s="1"/>
      <c r="AA139"/>
      <c r="AB139" s="1"/>
      <c r="AC139" s="1"/>
      <c r="AD139" s="1"/>
      <c r="AE139" s="1"/>
      <c r="AF139" s="1"/>
      <c r="AG139" s="1"/>
      <c r="AH139" s="1"/>
      <c r="AI139" s="1"/>
      <c r="AJ139" s="1"/>
      <c r="AK139" s="1"/>
      <c r="AL139" s="1"/>
      <c r="AM139"/>
    </row>
    <row r="140" spans="1:48" s="2" customFormat="1" ht="11.25" x14ac:dyDescent="0.2">
      <c r="A140" s="90">
        <f t="shared" si="27"/>
        <v>125.5</v>
      </c>
      <c r="B140" s="58">
        <v>0</v>
      </c>
      <c r="C140" s="60" t="str">
        <f t="shared" si="25"/>
        <v/>
      </c>
      <c r="D140" s="55" t="str">
        <f t="shared" si="25"/>
        <v/>
      </c>
      <c r="E140" s="63">
        <f t="shared" si="28"/>
        <v>125.5</v>
      </c>
      <c r="F140" s="58">
        <v>0</v>
      </c>
      <c r="G140" s="60" t="str">
        <f t="shared" si="26"/>
        <v/>
      </c>
      <c r="H140" s="86">
        <f t="shared" si="29"/>
        <v>0</v>
      </c>
      <c r="I140" s="58">
        <v>0</v>
      </c>
      <c r="J140" s="58">
        <f t="shared" si="30"/>
        <v>0.25000000000000006</v>
      </c>
      <c r="K140">
        <f t="array" ref="K140">SUM(IF($AJ$116:$AJ$119&lt;=$A140,AI$116:AI$119,""))</f>
        <v>4</v>
      </c>
      <c r="L140" s="60">
        <f t="array" ref="L140">SUM(IF($AJ$116:$AJ$119&lt;=$A140,AL$116:AL$119,0))</f>
        <v>502</v>
      </c>
      <c r="M140" s="55">
        <f t="array" ref="M140">SUM(IF($AJ$116:$AJ$119&lt;=$A140,AM$116:AM$119,0))</f>
        <v>0</v>
      </c>
      <c r="N140">
        <f t="array" ref="N140">SUM(IF($AL$116:$AL$119&lt;=$E140,AI$116:AI$119,""))</f>
        <v>4</v>
      </c>
      <c r="O140">
        <f t="array" ref="O140">SUM(IF($AL$116:$AL$119&lt;=$E140,AM$116:AM$119,""))</f>
        <v>0</v>
      </c>
      <c r="P140" s="30"/>
      <c r="Q140" s="1"/>
      <c r="R140" s="1"/>
      <c r="S140" s="1"/>
      <c r="T140" s="1"/>
      <c r="U140" s="1"/>
      <c r="V140" s="1"/>
      <c r="W140" s="1"/>
      <c r="X140" s="1"/>
      <c r="Y140" s="1"/>
      <c r="Z140" s="1"/>
      <c r="AA140"/>
      <c r="AB140" s="1"/>
      <c r="AC140" s="1"/>
      <c r="AD140" s="1"/>
      <c r="AE140" s="1"/>
      <c r="AF140" s="1"/>
      <c r="AG140" s="1"/>
      <c r="AH140" s="1"/>
      <c r="AI140" s="1"/>
      <c r="AJ140" s="1"/>
      <c r="AK140" s="1"/>
      <c r="AL140" s="1"/>
      <c r="AM140"/>
    </row>
    <row r="141" spans="1:48" s="2" customFormat="1" ht="11.25" x14ac:dyDescent="0.2">
      <c r="A141" s="90">
        <f t="shared" si="27"/>
        <v>125.5</v>
      </c>
      <c r="B141" s="58">
        <v>0</v>
      </c>
      <c r="C141" s="60" t="str">
        <f t="shared" si="25"/>
        <v/>
      </c>
      <c r="D141" s="55" t="str">
        <f t="shared" si="25"/>
        <v/>
      </c>
      <c r="E141" s="63">
        <f t="shared" si="28"/>
        <v>125.5</v>
      </c>
      <c r="F141" s="58">
        <v>0</v>
      </c>
      <c r="G141" s="60" t="str">
        <f t="shared" si="26"/>
        <v/>
      </c>
      <c r="H141" s="86">
        <f t="shared" si="29"/>
        <v>0</v>
      </c>
      <c r="I141" s="58">
        <v>0</v>
      </c>
      <c r="J141" s="58">
        <f t="shared" si="30"/>
        <v>0.30000000000000004</v>
      </c>
      <c r="K141">
        <f t="array" ref="K141">SUM(IF($AJ$116:$AJ$119&lt;=$A141,AI$116:AI$119,""))</f>
        <v>4</v>
      </c>
      <c r="L141" s="60">
        <f t="array" ref="L141">SUM(IF($AJ$116:$AJ$119&lt;=$A141,AL$116:AL$119,0))</f>
        <v>502</v>
      </c>
      <c r="M141" s="55">
        <f t="array" ref="M141">SUM(IF($AJ$116:$AJ$119&lt;=$A141,AM$116:AM$119,0))</f>
        <v>0</v>
      </c>
      <c r="N141">
        <f t="array" ref="N141">SUM(IF($AL$116:$AL$119&lt;=$E141,AI$116:AI$119,""))</f>
        <v>4</v>
      </c>
      <c r="O141">
        <f t="array" ref="O141">SUM(IF($AL$116:$AL$119&lt;=$E141,AM$116:AM$119,""))</f>
        <v>0</v>
      </c>
      <c r="P141" s="30"/>
      <c r="Q141" s="1"/>
      <c r="R141" s="1"/>
      <c r="S141" s="1"/>
      <c r="T141" s="1"/>
      <c r="U141" s="1"/>
      <c r="V141" s="1"/>
      <c r="W141" s="1"/>
      <c r="X141" s="1"/>
      <c r="Y141" s="1"/>
      <c r="Z141" s="1"/>
      <c r="AA141"/>
      <c r="AB141" s="1"/>
      <c r="AC141" s="1"/>
      <c r="AD141" s="1"/>
      <c r="AE141" s="1"/>
      <c r="AF141" s="1"/>
      <c r="AG141" s="1"/>
      <c r="AH141" s="1"/>
      <c r="AI141" s="1"/>
      <c r="AJ141" s="1"/>
      <c r="AK141" s="1"/>
      <c r="AL141" s="1"/>
      <c r="AM141"/>
    </row>
    <row r="142" spans="1:48" s="2" customFormat="1" ht="11.25" x14ac:dyDescent="0.2">
      <c r="A142" s="90">
        <f t="shared" si="27"/>
        <v>125.5</v>
      </c>
      <c r="B142" s="58">
        <v>0</v>
      </c>
      <c r="C142" s="60" t="str">
        <f t="shared" si="25"/>
        <v/>
      </c>
      <c r="D142" s="55" t="str">
        <f t="shared" si="25"/>
        <v/>
      </c>
      <c r="E142" s="63">
        <f t="shared" si="28"/>
        <v>125.5</v>
      </c>
      <c r="F142" s="58">
        <v>0</v>
      </c>
      <c r="G142" s="60" t="str">
        <f t="shared" si="26"/>
        <v/>
      </c>
      <c r="H142" s="86">
        <f t="shared" si="29"/>
        <v>0</v>
      </c>
      <c r="I142" s="58">
        <v>0</v>
      </c>
      <c r="J142" s="58">
        <f t="shared" si="30"/>
        <v>0.35000000000000003</v>
      </c>
      <c r="K142">
        <f t="array" ref="K142">SUM(IF($AJ$116:$AJ$119&lt;=$A142,AI$116:AI$119,""))</f>
        <v>4</v>
      </c>
      <c r="L142" s="60">
        <f t="array" ref="L142">SUM(IF($AJ$116:$AJ$119&lt;=$A142,AL$116:AL$119,0))</f>
        <v>502</v>
      </c>
      <c r="M142" s="55">
        <f t="array" ref="M142">SUM(IF($AJ$116:$AJ$119&lt;=$A142,AM$116:AM$119,0))</f>
        <v>0</v>
      </c>
      <c r="N142">
        <f t="array" ref="N142">SUM(IF($AL$116:$AL$119&lt;=$E142,AI$116:AI$119,""))</f>
        <v>4</v>
      </c>
      <c r="O142">
        <f t="array" ref="O142">SUM(IF($AL$116:$AL$119&lt;=$E142,AM$116:AM$119,""))</f>
        <v>0</v>
      </c>
      <c r="P142" s="30"/>
      <c r="Q142" s="1"/>
      <c r="R142" s="1"/>
      <c r="S142" s="1"/>
      <c r="T142" s="1"/>
      <c r="U142" s="1"/>
      <c r="V142" s="1"/>
      <c r="W142" s="1"/>
      <c r="X142" s="1"/>
      <c r="Y142" s="1"/>
      <c r="Z142" s="1"/>
      <c r="AA142"/>
      <c r="AB142" s="1"/>
      <c r="AC142" s="1"/>
      <c r="AD142" s="1"/>
      <c r="AE142" s="1"/>
      <c r="AF142" s="1"/>
      <c r="AG142" s="1"/>
      <c r="AH142" s="1"/>
      <c r="AI142" s="1"/>
      <c r="AJ142" s="1"/>
      <c r="AK142" s="1"/>
      <c r="AL142" s="1"/>
      <c r="AM142"/>
    </row>
    <row r="143" spans="1:48" s="2" customFormat="1" ht="11.25" x14ac:dyDescent="0.2">
      <c r="A143" s="90">
        <f t="shared" si="27"/>
        <v>125.5</v>
      </c>
      <c r="B143" s="58">
        <v>0</v>
      </c>
      <c r="C143" s="60" t="str">
        <f t="shared" si="25"/>
        <v/>
      </c>
      <c r="D143" s="55" t="str">
        <f t="shared" si="25"/>
        <v/>
      </c>
      <c r="E143" s="63">
        <f t="shared" si="28"/>
        <v>125.5</v>
      </c>
      <c r="F143" s="58">
        <v>0</v>
      </c>
      <c r="G143" s="60" t="str">
        <f t="shared" si="26"/>
        <v/>
      </c>
      <c r="H143" s="86">
        <f t="shared" si="29"/>
        <v>0</v>
      </c>
      <c r="I143" s="58">
        <v>0</v>
      </c>
      <c r="J143" s="58">
        <f t="shared" si="30"/>
        <v>0.4</v>
      </c>
      <c r="K143">
        <f t="array" ref="K143">SUM(IF($AJ$116:$AJ$119&lt;=$A143,AI$116:AI$119,""))</f>
        <v>4</v>
      </c>
      <c r="L143" s="60">
        <f t="array" ref="L143">SUM(IF($AJ$116:$AJ$119&lt;=$A143,AL$116:AL$119,0))</f>
        <v>502</v>
      </c>
      <c r="M143" s="55">
        <f t="array" ref="M143">SUM(IF($AJ$116:$AJ$119&lt;=$A143,AM$116:AM$119,0))</f>
        <v>0</v>
      </c>
      <c r="N143">
        <f t="array" ref="N143">SUM(IF($AL$116:$AL$119&lt;=$E143,AI$116:AI$119,""))</f>
        <v>4</v>
      </c>
      <c r="O143">
        <f t="array" ref="O143">SUM(IF($AL$116:$AL$119&lt;=$E143,AM$116:AM$119,""))</f>
        <v>0</v>
      </c>
      <c r="P143" s="30"/>
      <c r="Q143" s="1"/>
      <c r="R143" s="1"/>
      <c r="S143" s="1"/>
      <c r="T143" s="1"/>
      <c r="U143" s="1"/>
      <c r="V143" s="1"/>
      <c r="W143" s="1"/>
      <c r="X143" s="1"/>
      <c r="Y143" s="1"/>
      <c r="Z143" s="1"/>
      <c r="AA143"/>
      <c r="AB143" s="1"/>
      <c r="AC143" s="1"/>
      <c r="AD143" s="1"/>
      <c r="AE143" s="1"/>
      <c r="AF143" s="1"/>
      <c r="AM143"/>
    </row>
    <row r="144" spans="1:48" s="2" customFormat="1" ht="11.25" x14ac:dyDescent="0.2">
      <c r="A144" s="90">
        <f t="shared" si="27"/>
        <v>125.5</v>
      </c>
      <c r="B144" s="58">
        <v>0</v>
      </c>
      <c r="C144" s="60" t="str">
        <f t="shared" si="25"/>
        <v/>
      </c>
      <c r="D144" s="55" t="str">
        <f t="shared" si="25"/>
        <v/>
      </c>
      <c r="E144" s="63">
        <f t="shared" si="28"/>
        <v>125.5</v>
      </c>
      <c r="F144" s="58">
        <v>0</v>
      </c>
      <c r="G144" s="60" t="str">
        <f t="shared" si="26"/>
        <v/>
      </c>
      <c r="H144" s="86">
        <f t="shared" si="29"/>
        <v>0</v>
      </c>
      <c r="I144" s="58">
        <v>0</v>
      </c>
      <c r="J144" s="58">
        <f t="shared" si="30"/>
        <v>0.45</v>
      </c>
      <c r="K144">
        <f t="array" ref="K144">SUM(IF($AJ$116:$AJ$119&lt;=$A144,AI$116:AI$119,""))</f>
        <v>4</v>
      </c>
      <c r="L144" s="60">
        <f t="array" ref="L144">SUM(IF($AJ$116:$AJ$119&lt;=$A144,AL$116:AL$119,0))</f>
        <v>502</v>
      </c>
      <c r="M144" s="55">
        <f t="array" ref="M144">SUM(IF($AJ$116:$AJ$119&lt;=$A144,AM$116:AM$119,0))</f>
        <v>0</v>
      </c>
      <c r="N144">
        <f t="array" ref="N144">SUM(IF($AL$116:$AL$119&lt;=$E144,AI$116:AI$119,""))</f>
        <v>4</v>
      </c>
      <c r="O144">
        <f t="array" ref="O144">SUM(IF($AL$116:$AL$119&lt;=$E144,AM$116:AM$119,""))</f>
        <v>0</v>
      </c>
      <c r="P144" s="30"/>
      <c r="Q144" s="1"/>
      <c r="R144" s="1"/>
      <c r="S144" s="1"/>
      <c r="T144" s="1"/>
      <c r="U144" s="1"/>
      <c r="V144" s="1"/>
      <c r="W144" s="1"/>
      <c r="X144" s="1"/>
      <c r="Y144" s="1"/>
      <c r="Z144" s="1"/>
      <c r="AA144"/>
      <c r="AB144" s="1"/>
      <c r="AC144" s="1"/>
      <c r="AD144" s="1"/>
      <c r="AE144" s="1"/>
      <c r="AF144" s="1"/>
      <c r="AM144"/>
    </row>
    <row r="145" spans="1:39" s="2" customFormat="1" ht="11.25" x14ac:dyDescent="0.2">
      <c r="A145" s="90">
        <f t="shared" si="27"/>
        <v>125.5</v>
      </c>
      <c r="B145" s="58">
        <v>0</v>
      </c>
      <c r="C145" s="60" t="str">
        <f t="shared" si="25"/>
        <v/>
      </c>
      <c r="D145" s="55" t="str">
        <f t="shared" si="25"/>
        <v/>
      </c>
      <c r="E145" s="63">
        <f t="shared" si="28"/>
        <v>125.5</v>
      </c>
      <c r="F145" s="58">
        <v>0</v>
      </c>
      <c r="G145" s="60" t="str">
        <f t="shared" si="26"/>
        <v/>
      </c>
      <c r="H145" s="86">
        <f t="shared" si="29"/>
        <v>0</v>
      </c>
      <c r="I145" s="58">
        <v>0</v>
      </c>
      <c r="J145" s="58">
        <f t="shared" si="30"/>
        <v>0.5</v>
      </c>
      <c r="K145">
        <f t="array" ref="K145">SUM(IF($AJ$116:$AJ$119&lt;=$A145,AI$116:AI$119,""))</f>
        <v>4</v>
      </c>
      <c r="L145" s="60">
        <f t="array" ref="L145">SUM(IF($AJ$116:$AJ$119&lt;=$A145,AL$116:AL$119,0))</f>
        <v>502</v>
      </c>
      <c r="M145" s="55">
        <f t="array" ref="M145">SUM(IF($AJ$116:$AJ$119&lt;=$A145,AM$116:AM$119,0))</f>
        <v>0</v>
      </c>
      <c r="N145">
        <f t="array" ref="N145">SUM(IF($AL$116:$AL$119&lt;=$E145,AI$116:AI$119,""))</f>
        <v>4</v>
      </c>
      <c r="O145">
        <f t="array" ref="O145">SUM(IF($AL$116:$AL$119&lt;=$E145,AM$116:AM$119,""))</f>
        <v>0</v>
      </c>
      <c r="P145" s="30"/>
      <c r="Q145" s="1"/>
      <c r="R145" s="1"/>
      <c r="S145" s="1"/>
      <c r="T145" s="1"/>
      <c r="U145" s="1"/>
      <c r="V145" s="1"/>
      <c r="W145" s="1"/>
      <c r="X145" s="1"/>
      <c r="Y145" s="1"/>
      <c r="Z145" s="1"/>
      <c r="AA145"/>
      <c r="AB145" s="1"/>
      <c r="AC145" s="1"/>
      <c r="AD145" s="1"/>
      <c r="AE145" s="1"/>
      <c r="AF145" s="1"/>
      <c r="AM145"/>
    </row>
    <row r="146" spans="1:39" s="2" customFormat="1" ht="11.25" x14ac:dyDescent="0.2">
      <c r="A146" s="90">
        <f t="shared" si="27"/>
        <v>125.5</v>
      </c>
      <c r="B146" s="58">
        <v>0</v>
      </c>
      <c r="C146" s="60" t="str">
        <f t="shared" si="25"/>
        <v/>
      </c>
      <c r="D146" s="55" t="str">
        <f t="shared" si="25"/>
        <v/>
      </c>
      <c r="E146" s="63">
        <f t="shared" si="28"/>
        <v>125.5</v>
      </c>
      <c r="F146" s="58">
        <v>0</v>
      </c>
      <c r="G146" s="60" t="str">
        <f t="shared" si="26"/>
        <v/>
      </c>
      <c r="H146" s="86">
        <f t="shared" si="29"/>
        <v>0</v>
      </c>
      <c r="I146" s="58">
        <v>0</v>
      </c>
      <c r="J146" s="58">
        <f t="shared" si="30"/>
        <v>0.55000000000000004</v>
      </c>
      <c r="K146">
        <f t="array" ref="K146">SUM(IF($AJ$116:$AJ$119&lt;=$A146,AI$116:AI$119,""))</f>
        <v>4</v>
      </c>
      <c r="L146" s="60">
        <f t="array" ref="L146">SUM(IF($AJ$116:$AJ$119&lt;=$A146,AL$116:AL$119,0))</f>
        <v>502</v>
      </c>
      <c r="M146" s="55">
        <f t="array" ref="M146">SUM(IF($AJ$116:$AJ$119&lt;=$A146,AM$116:AM$119,0))</f>
        <v>0</v>
      </c>
      <c r="N146">
        <f t="array" ref="N146">SUM(IF($AL$116:$AL$119&lt;=$E146,AI$116:AI$119,""))</f>
        <v>4</v>
      </c>
      <c r="O146">
        <f t="array" ref="O146">SUM(IF($AL$116:$AL$119&lt;=$E146,AM$116:AM$119,""))</f>
        <v>0</v>
      </c>
      <c r="P146" s="30"/>
      <c r="Q146" s="1"/>
      <c r="R146" s="1"/>
      <c r="S146" s="1"/>
      <c r="T146" s="1"/>
      <c r="U146" s="1"/>
      <c r="V146" s="1"/>
      <c r="W146" s="1"/>
      <c r="X146" s="1"/>
      <c r="Y146" s="1"/>
      <c r="Z146" s="1"/>
      <c r="AA146"/>
      <c r="AB146" s="1"/>
      <c r="AC146" s="1"/>
      <c r="AD146" s="1"/>
      <c r="AE146" s="1"/>
      <c r="AF146" s="1"/>
      <c r="AM146"/>
    </row>
    <row r="147" spans="1:39" s="2" customFormat="1" ht="11.25" x14ac:dyDescent="0.2">
      <c r="A147" s="90">
        <f t="shared" si="27"/>
        <v>125.5</v>
      </c>
      <c r="B147" s="58">
        <v>0</v>
      </c>
      <c r="C147" s="60" t="str">
        <f t="shared" si="25"/>
        <v/>
      </c>
      <c r="D147" s="55" t="str">
        <f t="shared" si="25"/>
        <v/>
      </c>
      <c r="E147" s="63">
        <f t="shared" si="28"/>
        <v>125.5</v>
      </c>
      <c r="F147" s="58">
        <v>0</v>
      </c>
      <c r="G147" s="60" t="str">
        <f t="shared" si="26"/>
        <v/>
      </c>
      <c r="H147" s="86">
        <f t="shared" si="29"/>
        <v>0</v>
      </c>
      <c r="I147" s="58">
        <v>0</v>
      </c>
      <c r="J147" s="58">
        <f t="shared" si="30"/>
        <v>0.60000000000000009</v>
      </c>
      <c r="K147">
        <f t="array" ref="K147">SUM(IF($AJ$116:$AJ$119&lt;=$A147,AI$116:AI$119,""))</f>
        <v>4</v>
      </c>
      <c r="L147" s="60">
        <f t="array" ref="L147">SUM(IF($AJ$116:$AJ$119&lt;=$A147,AL$116:AL$119,0))</f>
        <v>502</v>
      </c>
      <c r="M147" s="55">
        <f t="array" ref="M147">SUM(IF($AJ$116:$AJ$119&lt;=$A147,AM$116:AM$119,0))</f>
        <v>0</v>
      </c>
      <c r="N147">
        <f t="array" ref="N147">SUM(IF($AL$116:$AL$119&lt;=$E147,AI$116:AI$119,""))</f>
        <v>4</v>
      </c>
      <c r="O147">
        <f t="array" ref="O147">SUM(IF($AL$116:$AL$119&lt;=$E147,AM$116:AM$119,""))</f>
        <v>0</v>
      </c>
      <c r="P147" s="30"/>
      <c r="Q147" s="1"/>
      <c r="R147" s="1"/>
      <c r="S147" s="1"/>
      <c r="T147" s="1"/>
      <c r="U147" s="1"/>
      <c r="V147" s="1"/>
      <c r="W147" s="1"/>
      <c r="X147" s="1"/>
      <c r="Y147" s="1"/>
      <c r="Z147" s="1"/>
      <c r="AA147" s="1"/>
      <c r="AB147" s="1"/>
      <c r="AC147" s="1"/>
      <c r="AD147" s="1"/>
      <c r="AE147" s="1"/>
      <c r="AF147" s="1"/>
      <c r="AM147"/>
    </row>
    <row r="148" spans="1:39" s="2" customFormat="1" ht="11.25" x14ac:dyDescent="0.2">
      <c r="A148" s="90">
        <f t="shared" si="27"/>
        <v>125.5</v>
      </c>
      <c r="B148" s="58">
        <v>0</v>
      </c>
      <c r="C148" s="60" t="str">
        <f t="shared" si="25"/>
        <v/>
      </c>
      <c r="D148" s="55" t="str">
        <f t="shared" si="25"/>
        <v/>
      </c>
      <c r="E148" s="63">
        <f t="shared" si="28"/>
        <v>125.5</v>
      </c>
      <c r="F148" s="58">
        <v>0</v>
      </c>
      <c r="G148" s="60" t="str">
        <f t="shared" si="26"/>
        <v/>
      </c>
      <c r="H148" s="86">
        <f t="shared" si="29"/>
        <v>0</v>
      </c>
      <c r="I148" s="58">
        <v>0</v>
      </c>
      <c r="J148" s="58">
        <f t="shared" si="30"/>
        <v>0.65000000000000013</v>
      </c>
      <c r="K148">
        <f t="array" ref="K148">SUM(IF($AJ$116:$AJ$119&lt;=$A148,AI$116:AI$119,""))</f>
        <v>4</v>
      </c>
      <c r="L148" s="60">
        <f t="array" ref="L148">SUM(IF($AJ$116:$AJ$119&lt;=$A148,AL$116:AL$119,0))</f>
        <v>502</v>
      </c>
      <c r="M148" s="55">
        <f t="array" ref="M148">SUM(IF($AJ$116:$AJ$119&lt;=$A148,AM$116:AM$119,0))</f>
        <v>0</v>
      </c>
      <c r="N148">
        <f t="array" ref="N148">SUM(IF($AL$116:$AL$119&lt;=$E148,AI$116:AI$119,""))</f>
        <v>4</v>
      </c>
      <c r="O148">
        <f t="array" ref="O148">SUM(IF($AL$116:$AL$119&lt;=$E148,AM$116:AM$119,""))</f>
        <v>0</v>
      </c>
      <c r="P148" s="30"/>
      <c r="Q148" s="1"/>
      <c r="R148" s="1"/>
      <c r="S148" s="1"/>
      <c r="T148" s="1"/>
      <c r="U148" s="1"/>
      <c r="V148" s="1"/>
      <c r="W148" s="1"/>
      <c r="X148" s="1"/>
      <c r="Y148" s="1"/>
      <c r="Z148" s="1"/>
      <c r="AA148" s="1"/>
      <c r="AB148" s="1"/>
      <c r="AC148" s="1"/>
      <c r="AD148" s="1"/>
      <c r="AE148" s="1"/>
      <c r="AF148" s="1"/>
      <c r="AM148"/>
    </row>
    <row r="149" spans="1:39" s="2" customFormat="1" ht="11.25" x14ac:dyDescent="0.2">
      <c r="A149" s="90">
        <f t="shared" si="27"/>
        <v>125.5</v>
      </c>
      <c r="B149" s="58">
        <v>0</v>
      </c>
      <c r="C149" s="60" t="str">
        <f t="shared" si="25"/>
        <v/>
      </c>
      <c r="D149" s="55" t="str">
        <f t="shared" si="25"/>
        <v/>
      </c>
      <c r="E149" s="63">
        <f t="shared" si="28"/>
        <v>125.5</v>
      </c>
      <c r="F149" s="58">
        <v>0</v>
      </c>
      <c r="G149" s="60" t="str">
        <f t="shared" si="26"/>
        <v/>
      </c>
      <c r="H149" s="86">
        <f t="shared" si="29"/>
        <v>0</v>
      </c>
      <c r="I149" s="58">
        <v>0</v>
      </c>
      <c r="J149" s="58">
        <f t="shared" si="30"/>
        <v>0.70000000000000018</v>
      </c>
      <c r="K149">
        <f t="array" ref="K149">SUM(IF($AJ$116:$AJ$119&lt;=$A149,AI$116:AI$119,""))</f>
        <v>4</v>
      </c>
      <c r="L149" s="60">
        <f t="array" ref="L149">SUM(IF($AJ$116:$AJ$119&lt;=$A149,AL$116:AL$119,0))</f>
        <v>502</v>
      </c>
      <c r="M149" s="55">
        <f t="array" ref="M149">SUM(IF($AJ$116:$AJ$119&lt;=$A149,AM$116:AM$119,0))</f>
        <v>0</v>
      </c>
      <c r="N149">
        <f t="array" ref="N149">SUM(IF($AL$116:$AL$119&lt;=$E149,AI$116:AI$119,""))</f>
        <v>4</v>
      </c>
      <c r="O149">
        <f t="array" ref="O149">SUM(IF($AL$116:$AL$119&lt;=$E149,AM$116:AM$119,""))</f>
        <v>0</v>
      </c>
      <c r="P149" s="30"/>
      <c r="Q149" s="1"/>
      <c r="R149" s="1"/>
      <c r="S149" s="1"/>
      <c r="T149" s="1"/>
      <c r="U149" s="1"/>
      <c r="V149" s="1"/>
      <c r="W149" s="1"/>
      <c r="X149" s="1"/>
      <c r="Y149" s="1"/>
      <c r="Z149" s="1"/>
      <c r="AA149" s="1"/>
      <c r="AB149" s="1"/>
      <c r="AC149" s="1"/>
      <c r="AD149" s="1"/>
      <c r="AE149" s="1"/>
      <c r="AF149" s="1"/>
      <c r="AM149"/>
    </row>
    <row r="150" spans="1:39" s="2" customFormat="1" ht="11.25" x14ac:dyDescent="0.2">
      <c r="A150" s="90">
        <f t="shared" si="27"/>
        <v>125.5</v>
      </c>
      <c r="B150" s="58">
        <v>0</v>
      </c>
      <c r="C150" s="60" t="str">
        <f t="shared" si="25"/>
        <v/>
      </c>
      <c r="D150" s="55" t="str">
        <f t="shared" si="25"/>
        <v/>
      </c>
      <c r="E150" s="63">
        <f t="shared" si="28"/>
        <v>125.5</v>
      </c>
      <c r="F150" s="58">
        <v>0</v>
      </c>
      <c r="G150" s="60" t="str">
        <f t="shared" si="26"/>
        <v/>
      </c>
      <c r="H150" s="86">
        <f t="shared" si="29"/>
        <v>0</v>
      </c>
      <c r="I150" s="58">
        <v>0</v>
      </c>
      <c r="J150" s="58">
        <f t="shared" si="30"/>
        <v>0.75000000000000022</v>
      </c>
      <c r="K150">
        <f t="array" ref="K150">SUM(IF($AJ$116:$AJ$119&lt;=$A150,AI$116:AI$119,""))</f>
        <v>4</v>
      </c>
      <c r="L150" s="60">
        <f t="array" ref="L150">SUM(IF($AJ$116:$AJ$119&lt;=$A150,AL$116:AL$119,0))</f>
        <v>502</v>
      </c>
      <c r="M150" s="55">
        <f t="array" ref="M150">SUM(IF($AJ$116:$AJ$119&lt;=$A150,AM$116:AM$119,0))</f>
        <v>0</v>
      </c>
      <c r="N150">
        <f t="array" ref="N150">SUM(IF($AL$116:$AL$119&lt;=$E150,AI$116:AI$119,""))</f>
        <v>4</v>
      </c>
      <c r="O150">
        <f t="array" ref="O150">SUM(IF($AL$116:$AL$119&lt;=$E150,AM$116:AM$119,""))</f>
        <v>0</v>
      </c>
      <c r="P150" s="30"/>
      <c r="Q150" s="1"/>
      <c r="R150" s="1"/>
      <c r="S150" s="1"/>
      <c r="T150" s="1"/>
      <c r="U150" s="1"/>
      <c r="V150" s="1"/>
      <c r="W150" s="1"/>
      <c r="X150" s="1"/>
      <c r="Y150" s="1"/>
      <c r="Z150" s="1"/>
      <c r="AA150" s="1"/>
      <c r="AB150" s="1"/>
      <c r="AC150" s="1"/>
      <c r="AD150" s="1"/>
      <c r="AE150" s="1"/>
      <c r="AF150" s="1"/>
    </row>
    <row r="151" spans="1:39" s="2" customFormat="1" ht="11.25" x14ac:dyDescent="0.2">
      <c r="A151" s="90">
        <f t="shared" si="27"/>
        <v>125.5</v>
      </c>
      <c r="B151" s="58">
        <v>0</v>
      </c>
      <c r="C151" s="60" t="str">
        <f t="shared" si="25"/>
        <v/>
      </c>
      <c r="D151" s="55" t="str">
        <f t="shared" si="25"/>
        <v/>
      </c>
      <c r="E151" s="63">
        <f t="shared" si="28"/>
        <v>125.5</v>
      </c>
      <c r="F151" s="58">
        <v>0</v>
      </c>
      <c r="G151" s="60" t="str">
        <f t="shared" si="26"/>
        <v/>
      </c>
      <c r="H151" s="86">
        <f t="shared" si="29"/>
        <v>0</v>
      </c>
      <c r="I151" s="58">
        <v>0</v>
      </c>
      <c r="J151" s="58">
        <f t="shared" si="30"/>
        <v>0.80000000000000027</v>
      </c>
      <c r="K151">
        <f t="array" ref="K151">SUM(IF($AJ$116:$AJ$119&lt;=$A151,AI$116:AI$119,""))</f>
        <v>4</v>
      </c>
      <c r="L151" s="60">
        <f t="array" ref="L151">SUM(IF($AJ$116:$AJ$119&lt;=$A151,AL$116:AL$119,0))</f>
        <v>502</v>
      </c>
      <c r="M151" s="55">
        <f t="array" ref="M151">SUM(IF($AJ$116:$AJ$119&lt;=$A151,AM$116:AM$119,0))</f>
        <v>0</v>
      </c>
      <c r="N151">
        <f t="array" ref="N151">SUM(IF($AL$116:$AL$119&lt;=$E151,AI$116:AI$119,""))</f>
        <v>4</v>
      </c>
      <c r="O151">
        <f t="array" ref="O151">SUM(IF($AL$116:$AL$119&lt;=$E151,AM$116:AM$119,""))</f>
        <v>0</v>
      </c>
      <c r="P151" s="30"/>
      <c r="Q151" s="1"/>
      <c r="R151" s="1"/>
      <c r="S151" s="1"/>
      <c r="T151" s="1"/>
      <c r="U151" s="1"/>
      <c r="V151" s="1"/>
      <c r="W151" s="1"/>
      <c r="X151" s="1"/>
      <c r="Y151" s="1"/>
      <c r="Z151" s="1"/>
      <c r="AA151" s="1"/>
      <c r="AB151" s="1"/>
      <c r="AC151" s="1"/>
      <c r="AD151" s="1"/>
      <c r="AE151" s="1"/>
      <c r="AF151" s="1"/>
    </row>
    <row r="152" spans="1:39" s="2" customFormat="1" ht="11.25" x14ac:dyDescent="0.2">
      <c r="A152" s="90">
        <f t="shared" si="27"/>
        <v>125.5</v>
      </c>
      <c r="B152" s="58">
        <v>0</v>
      </c>
      <c r="C152" s="60" t="str">
        <f t="shared" si="25"/>
        <v/>
      </c>
      <c r="D152" s="55" t="str">
        <f t="shared" si="25"/>
        <v/>
      </c>
      <c r="E152" s="63">
        <f t="shared" si="28"/>
        <v>125.5</v>
      </c>
      <c r="F152" s="58">
        <v>0</v>
      </c>
      <c r="G152" s="60" t="str">
        <f t="shared" si="26"/>
        <v/>
      </c>
      <c r="H152" s="86">
        <f t="shared" si="29"/>
        <v>0</v>
      </c>
      <c r="I152" s="58">
        <v>0</v>
      </c>
      <c r="J152" s="58">
        <f t="shared" si="30"/>
        <v>0.85000000000000031</v>
      </c>
      <c r="K152">
        <f t="array" ref="K152">SUM(IF($AJ$116:$AJ$119&lt;=$A152,AI$116:AI$119,""))</f>
        <v>4</v>
      </c>
      <c r="L152" s="60">
        <f t="array" ref="L152">SUM(IF($AJ$116:$AJ$119&lt;=$A152,AL$116:AL$119,0))</f>
        <v>502</v>
      </c>
      <c r="M152" s="55">
        <f t="array" ref="M152">SUM(IF($AJ$116:$AJ$119&lt;=$A152,AM$116:AM$119,0))</f>
        <v>0</v>
      </c>
      <c r="N152">
        <f t="array" ref="N152">SUM(IF($AL$116:$AL$119&lt;=$E152,AI$116:AI$119,""))</f>
        <v>4</v>
      </c>
      <c r="O152">
        <f t="array" ref="O152">SUM(IF($AL$116:$AL$119&lt;=$E152,AM$116:AM$119,""))</f>
        <v>0</v>
      </c>
      <c r="P152" s="30"/>
      <c r="Q152" s="1"/>
      <c r="R152" s="1"/>
      <c r="S152" s="1"/>
      <c r="T152" s="1"/>
      <c r="U152" s="1"/>
      <c r="V152" s="1"/>
      <c r="W152" s="1"/>
      <c r="X152" s="1"/>
      <c r="Y152" s="1"/>
      <c r="Z152" s="1"/>
      <c r="AA152" s="1"/>
      <c r="AB152" s="1"/>
      <c r="AC152" s="1"/>
      <c r="AD152" s="1"/>
      <c r="AE152" s="1"/>
      <c r="AF152" s="1"/>
    </row>
    <row r="153" spans="1:39" s="2" customFormat="1" ht="11.25" x14ac:dyDescent="0.2">
      <c r="A153" s="90">
        <f t="shared" si="27"/>
        <v>125.5</v>
      </c>
      <c r="B153" s="58">
        <v>0</v>
      </c>
      <c r="C153" s="60" t="str">
        <f t="shared" si="25"/>
        <v/>
      </c>
      <c r="D153" s="55" t="str">
        <f t="shared" si="25"/>
        <v/>
      </c>
      <c r="E153" s="63">
        <f t="shared" si="28"/>
        <v>125.5</v>
      </c>
      <c r="F153" s="58">
        <v>0</v>
      </c>
      <c r="G153" s="60" t="str">
        <f t="shared" si="26"/>
        <v/>
      </c>
      <c r="H153" s="86">
        <f t="shared" si="29"/>
        <v>0</v>
      </c>
      <c r="I153" s="58">
        <v>0</v>
      </c>
      <c r="J153" s="58">
        <f t="shared" si="30"/>
        <v>0.90000000000000036</v>
      </c>
      <c r="K153">
        <f t="array" ref="K153">SUM(IF($AJ$116:$AJ$119&lt;=$A153,AI$116:AI$119,""))</f>
        <v>4</v>
      </c>
      <c r="L153" s="60">
        <f t="array" ref="L153">SUM(IF($AJ$116:$AJ$119&lt;=$A153,AL$116:AL$119,0))</f>
        <v>502</v>
      </c>
      <c r="M153" s="55">
        <f t="array" ref="M153">SUM(IF($AJ$116:$AJ$119&lt;=$A153,AM$116:AM$119,0))</f>
        <v>0</v>
      </c>
      <c r="N153">
        <f t="array" ref="N153">SUM(IF($AL$116:$AL$119&lt;=$E153,AI$116:AI$119,""))</f>
        <v>4</v>
      </c>
      <c r="O153">
        <f t="array" ref="O153">SUM(IF($AL$116:$AL$119&lt;=$E153,AM$116:AM$119,""))</f>
        <v>0</v>
      </c>
      <c r="P153" s="30"/>
      <c r="Q153" s="1"/>
      <c r="R153" s="1"/>
      <c r="S153" s="1"/>
      <c r="T153" s="1"/>
      <c r="U153" s="1"/>
      <c r="V153" s="1"/>
      <c r="W153" s="1"/>
      <c r="X153" s="1"/>
      <c r="Y153" s="1"/>
      <c r="Z153" s="1"/>
      <c r="AA153" s="1"/>
      <c r="AB153" s="1"/>
      <c r="AC153" s="1"/>
      <c r="AD153" s="1"/>
      <c r="AE153" s="1"/>
      <c r="AF153" s="1"/>
    </row>
    <row r="154" spans="1:39" s="2" customFormat="1" ht="11.25" x14ac:dyDescent="0.2">
      <c r="A154" s="90">
        <f t="shared" si="27"/>
        <v>125.5</v>
      </c>
      <c r="B154" s="58">
        <v>0</v>
      </c>
      <c r="C154" s="60" t="str">
        <f t="shared" si="25"/>
        <v/>
      </c>
      <c r="D154" s="55" t="str">
        <f t="shared" si="25"/>
        <v/>
      </c>
      <c r="E154" s="63">
        <f t="shared" si="28"/>
        <v>125.5</v>
      </c>
      <c r="F154" s="58">
        <v>0</v>
      </c>
      <c r="G154" s="60" t="str">
        <f t="shared" si="26"/>
        <v/>
      </c>
      <c r="H154" s="86">
        <f t="shared" si="29"/>
        <v>0</v>
      </c>
      <c r="I154" s="58">
        <v>0</v>
      </c>
      <c r="J154" s="58">
        <f t="shared" si="30"/>
        <v>0.9500000000000004</v>
      </c>
      <c r="K154">
        <f t="array" ref="K154">SUM(IF($AJ$116:$AJ$119&lt;=$A154,AI$116:AI$119,""))</f>
        <v>4</v>
      </c>
      <c r="L154" s="60">
        <f t="array" ref="L154">SUM(IF($AJ$116:$AJ$119&lt;=$A154,AL$116:AL$119,0))</f>
        <v>502</v>
      </c>
      <c r="M154" s="55">
        <f t="array" ref="M154">SUM(IF($AJ$116:$AJ$119&lt;=$A154,AM$116:AM$119,0))</f>
        <v>0</v>
      </c>
      <c r="N154">
        <f t="array" ref="N154">SUM(IF($AL$116:$AL$119&lt;=$E154,AI$116:AI$119,""))</f>
        <v>4</v>
      </c>
      <c r="O154">
        <f t="array" ref="O154">SUM(IF($AL$116:$AL$119&lt;=$E154,AM$116:AM$119,""))</f>
        <v>0</v>
      </c>
      <c r="P154" s="30"/>
      <c r="Q154" s="1"/>
      <c r="R154" s="1"/>
      <c r="S154" s="1"/>
      <c r="T154" s="1"/>
      <c r="U154" s="1"/>
      <c r="V154" s="1"/>
      <c r="W154" s="1"/>
      <c r="X154" s="1"/>
      <c r="Y154" s="1"/>
      <c r="Z154" s="1"/>
      <c r="AA154" s="1"/>
      <c r="AB154" s="1"/>
      <c r="AC154" s="1"/>
      <c r="AD154" s="1"/>
      <c r="AE154" s="1"/>
      <c r="AF154" s="1"/>
    </row>
    <row r="155" spans="1:39" s="2" customFormat="1" ht="12" thickBot="1" x14ac:dyDescent="0.25">
      <c r="A155" s="90">
        <f t="shared" si="27"/>
        <v>125.5</v>
      </c>
      <c r="B155" s="58">
        <v>0</v>
      </c>
      <c r="C155" s="60" t="str">
        <f t="shared" si="25"/>
        <v/>
      </c>
      <c r="D155" s="55" t="str">
        <f t="shared" si="25"/>
        <v/>
      </c>
      <c r="E155" s="63">
        <f t="shared" si="28"/>
        <v>125.5</v>
      </c>
      <c r="F155" s="58">
        <v>0</v>
      </c>
      <c r="G155" s="60" t="str">
        <f t="shared" si="26"/>
        <v/>
      </c>
      <c r="H155" s="86">
        <f t="shared" si="29"/>
        <v>0</v>
      </c>
      <c r="I155" s="58">
        <v>0</v>
      </c>
      <c r="J155" s="58">
        <f t="shared" si="30"/>
        <v>1.0000000000000004</v>
      </c>
      <c r="K155">
        <f t="array" ref="K155">SUM(IF($AJ$116:$AJ$119&lt;=$A155,AI$116:AI$119,""))</f>
        <v>4</v>
      </c>
      <c r="L155" s="60">
        <f t="array" ref="L155">SUM(IF($AJ$116:$AJ$119&lt;=$A155,AL$116:AL$119,0))</f>
        <v>502</v>
      </c>
      <c r="M155" s="55">
        <f t="array" ref="M155">SUM(IF($AJ$116:$AJ$119&lt;=$A155,AM$116:AM$119,0))</f>
        <v>0</v>
      </c>
      <c r="N155">
        <f t="array" ref="N155">SUM(IF($AL$116:$AL$119&lt;=$E155,AI$116:AI$119,""))</f>
        <v>4</v>
      </c>
      <c r="O155">
        <f t="array" ref="O155">SUM(IF($AL$116:$AL$119&lt;=$E155,AM$116:AM$119,""))</f>
        <v>0</v>
      </c>
      <c r="P155" s="30"/>
      <c r="Q155" s="1"/>
      <c r="R155" s="1"/>
      <c r="S155" s="1"/>
      <c r="T155" s="1"/>
      <c r="U155" s="1"/>
      <c r="V155" s="1"/>
      <c r="W155" s="1"/>
      <c r="X155" s="1"/>
      <c r="Y155" s="1"/>
      <c r="Z155" s="1"/>
      <c r="AA155" s="1"/>
      <c r="AB155" s="1"/>
      <c r="AC155" s="1"/>
      <c r="AD155" s="1"/>
      <c r="AE155" s="1"/>
      <c r="AF155" s="1"/>
    </row>
    <row r="156" spans="1:39" s="2" customFormat="1" ht="11.25" x14ac:dyDescent="0.2">
      <c r="A156" s="28"/>
      <c r="B156" s="28"/>
      <c r="C156" s="28"/>
      <c r="D156" s="78"/>
      <c r="E156" s="78"/>
      <c r="F156" s="28"/>
      <c r="G156" s="28"/>
      <c r="H156" s="28"/>
      <c r="I156" s="28"/>
      <c r="J156" s="28"/>
      <c r="K156" s="28"/>
      <c r="L156" s="28"/>
      <c r="M156" s="28"/>
      <c r="N156" s="28"/>
      <c r="O156" s="28"/>
      <c r="P156" s="1"/>
      <c r="Q156" s="1"/>
      <c r="R156" s="1"/>
      <c r="S156" s="1"/>
      <c r="T156" s="1"/>
      <c r="U156" s="1"/>
      <c r="V156" s="1"/>
      <c r="W156" s="1"/>
      <c r="X156" s="1"/>
      <c r="Y156" s="1"/>
      <c r="Z156" s="1"/>
      <c r="AA156" s="1"/>
      <c r="AB156" s="1"/>
      <c r="AC156" s="1"/>
      <c r="AD156" s="1"/>
      <c r="AE156" s="1"/>
      <c r="AF156" s="1"/>
    </row>
    <row r="157" spans="1:39" s="2" customFormat="1" ht="12.75" x14ac:dyDescent="0.2">
      <c r="A157"/>
      <c r="B157" s="58">
        <f>SUM(B135:B156)</f>
        <v>1</v>
      </c>
      <c r="C157"/>
      <c r="D157" s="63"/>
      <c r="E157" s="63"/>
      <c r="F157" s="58">
        <f>SUM(F135:F156)</f>
        <v>100</v>
      </c>
      <c r="G157" s="3"/>
      <c r="H157" s="3"/>
      <c r="I157" s="3"/>
      <c r="J157" s="1"/>
      <c r="K157" s="1"/>
      <c r="L157" s="1"/>
      <c r="M157" s="1"/>
      <c r="N157" s="1"/>
      <c r="O157" s="1"/>
      <c r="P157" s="1"/>
      <c r="Q157" s="1"/>
      <c r="R157" s="1"/>
      <c r="S157" s="1"/>
      <c r="T157" s="1"/>
      <c r="U157" s="1"/>
      <c r="V157" s="1"/>
      <c r="W157" s="1"/>
      <c r="X157" s="1"/>
      <c r="Y157" s="1"/>
      <c r="Z157" s="1"/>
      <c r="AA157" s="1"/>
      <c r="AB157" s="1"/>
      <c r="AC157" s="1"/>
      <c r="AD157" s="1"/>
      <c r="AE157" s="1"/>
      <c r="AF157" s="1"/>
    </row>
    <row r="158" spans="1:39" s="2" customFormat="1" ht="12.75" x14ac:dyDescent="0.2">
      <c r="A158" s="1"/>
      <c r="B158" s="1"/>
      <c r="C158" s="1"/>
      <c r="D158" s="68"/>
      <c r="E158" s="68"/>
      <c r="F158" s="3"/>
      <c r="G158" s="3"/>
      <c r="H158" s="3"/>
      <c r="I158" s="3"/>
      <c r="J158" s="1"/>
      <c r="K158" s="1"/>
      <c r="L158" s="1"/>
      <c r="M158" s="1"/>
      <c r="N158" s="1"/>
      <c r="O158" s="1"/>
      <c r="P158" s="1"/>
      <c r="Q158" s="1"/>
      <c r="R158" s="1"/>
      <c r="S158" s="1"/>
      <c r="T158" s="1"/>
      <c r="U158" s="1"/>
      <c r="V158" s="1"/>
      <c r="W158" s="1"/>
      <c r="X158" s="1"/>
      <c r="Y158" s="1"/>
      <c r="Z158" s="1"/>
      <c r="AA158" s="1"/>
      <c r="AB158" s="1"/>
      <c r="AC158" s="1"/>
      <c r="AD158" s="1"/>
      <c r="AE158" s="1"/>
      <c r="AF158" s="1"/>
    </row>
    <row r="159" spans="1:39" s="2" customFormat="1" ht="15.75" x14ac:dyDescent="0.25">
      <c r="A159" s="82" t="s">
        <v>72</v>
      </c>
      <c r="B159" s="1"/>
      <c r="C159" s="1"/>
      <c r="D159" s="68"/>
      <c r="E159" s="68"/>
      <c r="F159" s="3"/>
      <c r="G159" s="3"/>
      <c r="H159" s="3"/>
      <c r="I159" s="3"/>
      <c r="J159" s="1"/>
      <c r="K159" s="1"/>
      <c r="L159" s="1"/>
      <c r="M159" s="1"/>
      <c r="N159" s="1"/>
      <c r="O159" s="1"/>
      <c r="P159" s="1"/>
      <c r="Q159" s="1"/>
      <c r="R159" s="1"/>
      <c r="S159" s="1"/>
      <c r="T159" s="1"/>
      <c r="U159" s="1"/>
      <c r="V159" s="1"/>
      <c r="W159" s="1"/>
      <c r="X159" s="1"/>
      <c r="Y159" s="1"/>
      <c r="Z159" s="1"/>
      <c r="AA159" s="1"/>
      <c r="AB159" s="1"/>
      <c r="AC159" s="1"/>
      <c r="AD159" s="1"/>
      <c r="AE159" s="1"/>
      <c r="AF159" s="1"/>
    </row>
    <row r="160" spans="1:39" s="2" customFormat="1" ht="13.5" thickBot="1" x14ac:dyDescent="0.25">
      <c r="A160" s="29"/>
      <c r="B160" s="29"/>
      <c r="C160" s="1"/>
      <c r="D160" s="68"/>
      <c r="E160" s="68"/>
      <c r="F160" s="3"/>
      <c r="G160" s="3"/>
      <c r="H160" s="3"/>
      <c r="I160" s="3"/>
      <c r="J160" s="1"/>
      <c r="K160" s="1"/>
      <c r="L160" s="1"/>
      <c r="M160" s="1"/>
      <c r="N160" s="1"/>
      <c r="O160" s="1"/>
      <c r="P160" s="1"/>
      <c r="Q160" s="1"/>
      <c r="R160" s="1"/>
      <c r="S160" s="1"/>
      <c r="T160" s="1"/>
      <c r="U160" s="1"/>
      <c r="V160" s="1"/>
      <c r="W160" s="1"/>
      <c r="X160" s="1"/>
      <c r="Y160" s="1"/>
      <c r="Z160" s="1"/>
      <c r="AA160" s="1"/>
      <c r="AB160" s="1"/>
      <c r="AC160" s="1"/>
      <c r="AD160" s="1"/>
      <c r="AE160" s="1"/>
      <c r="AF160" s="1"/>
    </row>
    <row r="161" spans="1:32" s="2" customFormat="1" ht="12.75" x14ac:dyDescent="0.2">
      <c r="A161" s="13" t="s">
        <v>73</v>
      </c>
      <c r="B161" s="31" t="s">
        <v>74</v>
      </c>
      <c r="C161" s="30"/>
      <c r="D161" s="68"/>
      <c r="E161" s="68"/>
      <c r="F161" s="3"/>
      <c r="G161" s="3"/>
      <c r="H161" s="3"/>
      <c r="I161" s="3"/>
      <c r="J161" s="1"/>
      <c r="K161" s="1"/>
      <c r="L161" s="1"/>
      <c r="M161" s="1"/>
      <c r="N161" s="1"/>
      <c r="O161" s="1"/>
      <c r="P161" s="1"/>
      <c r="Q161" s="1"/>
      <c r="R161" s="1"/>
      <c r="S161" s="1"/>
      <c r="T161" s="1"/>
      <c r="U161" s="1"/>
      <c r="V161" s="1"/>
      <c r="W161" s="1"/>
      <c r="X161" s="1"/>
      <c r="Y161" s="1"/>
      <c r="Z161" s="1"/>
      <c r="AA161" s="1"/>
      <c r="AB161" s="1"/>
      <c r="AC161" s="1"/>
      <c r="AD161" s="1"/>
      <c r="AE161" s="1"/>
      <c r="AF161" s="1"/>
    </row>
    <row r="162" spans="1:32" s="2" customFormat="1" ht="12.75" x14ac:dyDescent="0.2">
      <c r="A162" s="13">
        <v>0</v>
      </c>
      <c r="B162" s="83">
        <f t="array" ref="B162">SUM(IF($F$116:$F$119-$E$116:$E$119&gt;365.25*$A162,1,0)*IF($F$116:$F$119-$E$116:$E$119&lt;=365.25*($A162+1),1,0)*IF($F$116:$F$119&gt;EOMONTH(ValDate,-60),1,0))</f>
        <v>0</v>
      </c>
      <c r="C162" s="30"/>
      <c r="D162" s="1"/>
      <c r="E162" s="68"/>
      <c r="F162" s="3"/>
      <c r="G162" s="3"/>
      <c r="H162" s="3"/>
      <c r="I162" s="3"/>
      <c r="J162" s="1"/>
      <c r="K162" s="1"/>
      <c r="L162" s="1"/>
      <c r="M162" s="1"/>
      <c r="N162" s="1"/>
      <c r="O162" s="1"/>
      <c r="P162" s="1"/>
      <c r="Q162" s="1"/>
      <c r="R162" s="1"/>
      <c r="S162" s="1"/>
      <c r="T162" s="1"/>
      <c r="U162" s="1"/>
      <c r="V162" s="1"/>
      <c r="W162" s="1"/>
      <c r="X162" s="1"/>
      <c r="Y162" s="1"/>
      <c r="Z162" s="1"/>
      <c r="AA162" s="1"/>
      <c r="AB162" s="1"/>
      <c r="AC162" s="1"/>
      <c r="AD162" s="1"/>
      <c r="AE162" s="1"/>
      <c r="AF162" s="1"/>
    </row>
    <row r="163" spans="1:32" s="2" customFormat="1" ht="12.75" x14ac:dyDescent="0.2">
      <c r="A163" s="13">
        <v>1</v>
      </c>
      <c r="B163" s="83">
        <f t="array" ref="B163">SUM(IF($F$116:$F$119-$E$116:$E$119&gt;365.25*$A163,1,0)*IF($F$116:$F$119-$E$116:$E$119&lt;=365.25*($A163+1),1,0)*IF($F$116:$F$119&gt;EOMONTH(ValDate,-60),1,0))</f>
        <v>0</v>
      </c>
      <c r="C163" s="30"/>
      <c r="D163" s="68"/>
      <c r="E163" s="68"/>
      <c r="F163" s="3"/>
      <c r="G163" s="3"/>
      <c r="H163" s="3"/>
      <c r="I163" s="3"/>
      <c r="J163" s="1"/>
      <c r="K163" s="1"/>
      <c r="L163" s="1"/>
      <c r="M163" s="1"/>
      <c r="N163" s="1"/>
      <c r="O163" s="1"/>
      <c r="P163" s="1"/>
      <c r="Q163" s="1"/>
      <c r="R163" s="1"/>
      <c r="S163" s="1"/>
      <c r="T163" s="1"/>
      <c r="U163" s="1"/>
      <c r="V163" s="1"/>
      <c r="W163" s="1"/>
      <c r="X163" s="1"/>
      <c r="Y163" s="1"/>
      <c r="Z163" s="1"/>
      <c r="AA163" s="1"/>
      <c r="AB163" s="1"/>
      <c r="AC163" s="1"/>
      <c r="AD163" s="1"/>
      <c r="AE163" s="1"/>
      <c r="AF163" s="1"/>
    </row>
    <row r="164" spans="1:32" s="2" customFormat="1" ht="12.75" x14ac:dyDescent="0.2">
      <c r="A164" s="13">
        <v>2</v>
      </c>
      <c r="B164" s="83">
        <f t="array" ref="B164">SUM(IF($F$116:$F$119-$E$116:$E$119&gt;365.25*$A164,1,0)*IF($F$116:$F$119-$E$116:$E$119&lt;=365.25*($A164+1),1,0)*IF($F$116:$F$119&gt;EOMONTH(ValDate,-60),1,0))</f>
        <v>0</v>
      </c>
      <c r="C164" s="30"/>
      <c r="D164" s="68"/>
      <c r="E164" s="68"/>
      <c r="F164" s="3"/>
      <c r="G164" s="3"/>
      <c r="H164" s="3"/>
      <c r="I164" s="3"/>
      <c r="J164" s="1"/>
      <c r="K164" s="1"/>
      <c r="L164" s="1"/>
      <c r="M164" s="1"/>
      <c r="N164" s="1"/>
      <c r="O164" s="1"/>
      <c r="P164" s="1"/>
      <c r="Q164" s="1"/>
      <c r="R164" s="1"/>
      <c r="S164" s="1"/>
      <c r="T164" s="1"/>
      <c r="U164" s="1"/>
      <c r="V164" s="1"/>
      <c r="W164" s="1"/>
      <c r="X164" s="1"/>
      <c r="Y164" s="1"/>
      <c r="Z164" s="1"/>
      <c r="AA164" s="1"/>
      <c r="AB164" s="1"/>
      <c r="AC164" s="1"/>
      <c r="AD164" s="1"/>
      <c r="AE164" s="1"/>
      <c r="AF164" s="1"/>
    </row>
    <row r="165" spans="1:32" s="2" customFormat="1" ht="12.75" x14ac:dyDescent="0.2">
      <c r="A165" s="13">
        <v>3</v>
      </c>
      <c r="B165" s="83">
        <f t="array" ref="B165">SUM(IF($F$116:$F$119-$E$116:$E$119&gt;365.25*$A165,1,0)*IF($F$116:$F$119-$E$116:$E$119&lt;=365.25*($A165+1),1,0)*IF($F$116:$F$119&gt;EOMONTH(ValDate,-60),1,0))</f>
        <v>0</v>
      </c>
      <c r="C165" s="30"/>
      <c r="D165" s="68"/>
      <c r="E165" s="68"/>
      <c r="F165" s="3"/>
      <c r="G165" s="3"/>
      <c r="H165" s="3"/>
      <c r="I165" s="3"/>
      <c r="J165" s="1"/>
      <c r="K165" s="1"/>
      <c r="L165" s="1"/>
      <c r="M165" s="1"/>
      <c r="N165" s="1"/>
      <c r="O165" s="1"/>
      <c r="P165" s="1"/>
      <c r="Q165" s="1"/>
      <c r="R165" s="1"/>
      <c r="S165" s="1"/>
      <c r="T165" s="1"/>
      <c r="U165" s="1"/>
      <c r="V165" s="1"/>
      <c r="W165" s="1"/>
      <c r="X165" s="1"/>
      <c r="Y165" s="1"/>
      <c r="Z165" s="1"/>
      <c r="AA165" s="1"/>
      <c r="AB165" s="1"/>
      <c r="AC165" s="1"/>
      <c r="AD165" s="1"/>
      <c r="AE165" s="1"/>
      <c r="AF165" s="1"/>
    </row>
    <row r="166" spans="1:32" s="2" customFormat="1" ht="12.75" x14ac:dyDescent="0.2">
      <c r="A166" s="13">
        <v>4</v>
      </c>
      <c r="B166" s="83">
        <f t="array" ref="B166">SUM(IF($F$116:$F$119-$E$116:$E$119&gt;365.25*$A166,1,0)*IF($F$116:$F$119-$E$116:$E$119&lt;=365.25*($A166+1),1,0)*IF($F$116:$F$119&gt;EOMONTH(ValDate,-60),1,0))</f>
        <v>0</v>
      </c>
      <c r="C166" s="30"/>
      <c r="D166" s="68"/>
      <c r="E166" s="68"/>
      <c r="F166" s="3"/>
      <c r="G166" s="3"/>
      <c r="H166" s="3"/>
      <c r="I166" s="3"/>
      <c r="J166" s="1"/>
      <c r="K166" s="1"/>
      <c r="L166" s="1"/>
      <c r="M166" s="1"/>
      <c r="N166" s="1"/>
      <c r="O166" s="1"/>
      <c r="P166" s="1"/>
      <c r="Q166" s="1"/>
      <c r="R166" s="1"/>
      <c r="S166" s="1"/>
      <c r="T166" s="1"/>
      <c r="U166" s="1"/>
      <c r="V166" s="1"/>
      <c r="W166" s="1"/>
      <c r="X166" s="1"/>
      <c r="Y166" s="1"/>
      <c r="Z166" s="1"/>
      <c r="AA166" s="1"/>
      <c r="AB166" s="1"/>
      <c r="AC166" s="1"/>
      <c r="AD166" s="1"/>
      <c r="AE166" s="1"/>
      <c r="AF166" s="1"/>
    </row>
    <row r="167" spans="1:32" s="2" customFormat="1" ht="12.75" x14ac:dyDescent="0.2">
      <c r="A167" s="13">
        <v>5</v>
      </c>
      <c r="B167" s="83">
        <f t="array" ref="B167">SUM(IF($F$116:$F$119-$E$116:$E$119&gt;365.25*$A167,1,0)*IF($F$116:$F$119-$E$116:$E$119&lt;=365.25*($A167+1),1,0)*IF($F$116:$F$119&gt;EOMONTH(ValDate,-60),1,0))</f>
        <v>0</v>
      </c>
      <c r="C167" s="30"/>
      <c r="D167" s="68"/>
      <c r="E167" s="68"/>
      <c r="F167" s="3"/>
      <c r="G167" s="3"/>
      <c r="H167" s="3"/>
      <c r="I167" s="3"/>
      <c r="J167" s="1"/>
      <c r="K167" s="1"/>
      <c r="L167" s="1"/>
      <c r="M167" s="1"/>
      <c r="N167" s="1"/>
      <c r="O167" s="1"/>
      <c r="P167" s="1"/>
      <c r="Q167" s="1"/>
      <c r="R167" s="1"/>
      <c r="S167" s="1"/>
      <c r="T167" s="1"/>
      <c r="U167" s="1"/>
      <c r="V167" s="1"/>
      <c r="W167" s="1"/>
      <c r="X167" s="1"/>
      <c r="Y167" s="1"/>
      <c r="Z167" s="1"/>
      <c r="AA167" s="1"/>
      <c r="AB167" s="1"/>
      <c r="AC167" s="1"/>
      <c r="AD167" s="1"/>
      <c r="AE167" s="1"/>
      <c r="AF167" s="1"/>
    </row>
    <row r="168" spans="1:32" s="2" customFormat="1" ht="12.75" x14ac:dyDescent="0.2">
      <c r="A168" s="13">
        <v>6</v>
      </c>
      <c r="B168" s="83">
        <f t="array" ref="B168">SUM(IF($F$116:$F$119-$E$116:$E$119&gt;365.25*$A168,1,0)*IF($F$116:$F$119-$E$116:$E$119&lt;=365.25*($A168+1),1,0)*IF($F$116:$F$119&gt;EOMONTH(ValDate,-60),1,0))</f>
        <v>0</v>
      </c>
      <c r="C168" s="30"/>
      <c r="D168" s="68"/>
      <c r="E168" s="68"/>
      <c r="F168" s="3"/>
      <c r="G168" s="3"/>
      <c r="H168" s="3"/>
      <c r="I168" s="3"/>
      <c r="J168" s="1"/>
      <c r="K168" s="1"/>
      <c r="L168" s="1"/>
      <c r="M168" s="1"/>
      <c r="N168" s="1"/>
      <c r="O168" s="1"/>
      <c r="P168" s="1"/>
      <c r="Q168" s="1"/>
      <c r="R168" s="1"/>
      <c r="S168" s="1"/>
      <c r="T168" s="1"/>
      <c r="U168" s="1"/>
      <c r="V168" s="1"/>
      <c r="W168" s="1"/>
      <c r="X168" s="1"/>
      <c r="Y168" s="1"/>
      <c r="Z168" s="1"/>
      <c r="AA168" s="1"/>
      <c r="AB168" s="1"/>
      <c r="AC168" s="1"/>
      <c r="AD168" s="1"/>
      <c r="AE168" s="1"/>
      <c r="AF168" s="1"/>
    </row>
    <row r="169" spans="1:32" s="2" customFormat="1" ht="12.75" x14ac:dyDescent="0.2">
      <c r="A169" s="13">
        <v>7</v>
      </c>
      <c r="B169" s="83">
        <f t="array" ref="B169">SUM(IF($F$116:$F$119-$E$116:$E$119&gt;365.25*$A169,1,0)*IF($F$116:$F$119-$E$116:$E$119&lt;=365.25*($A169+1),1,0)*IF($F$116:$F$119&gt;EOMONTH(ValDate,-60),1,0))</f>
        <v>0</v>
      </c>
      <c r="C169" s="30"/>
      <c r="D169" s="79"/>
      <c r="E169" s="79"/>
      <c r="F169" s="3"/>
      <c r="G169" s="3"/>
      <c r="H169" s="3"/>
      <c r="I169" s="3"/>
      <c r="J169" s="1"/>
      <c r="K169" s="1"/>
      <c r="L169" s="1"/>
      <c r="M169" s="1"/>
      <c r="N169" s="1"/>
      <c r="O169" s="1"/>
      <c r="P169" s="1"/>
      <c r="Q169" s="1"/>
      <c r="R169" s="1"/>
      <c r="S169" s="1"/>
      <c r="T169" s="1"/>
      <c r="U169" s="1"/>
      <c r="V169" s="1"/>
      <c r="W169" s="1"/>
      <c r="X169" s="1"/>
      <c r="Y169" s="1"/>
      <c r="Z169" s="1"/>
      <c r="AA169" s="1"/>
      <c r="AB169" s="1"/>
      <c r="AC169" s="1"/>
      <c r="AD169" s="1"/>
      <c r="AE169" s="1"/>
      <c r="AF169" s="1"/>
    </row>
    <row r="170" spans="1:32" s="2" customFormat="1" ht="12.75" x14ac:dyDescent="0.2">
      <c r="A170" s="13">
        <v>8</v>
      </c>
      <c r="B170" s="83">
        <f t="array" ref="B170">SUM(IF($F$116:$F$119-$E$116:$E$119&gt;365.25*$A170,1,0)*IF($F$116:$F$119-$E$116:$E$119&lt;=365.25*($A170+1),1,0)*IF($F$116:$F$119&gt;EOMONTH(ValDate,-60),1,0))</f>
        <v>0</v>
      </c>
      <c r="C170" s="30"/>
      <c r="D170" s="79"/>
      <c r="E170" s="79"/>
      <c r="F170" s="3"/>
      <c r="G170" s="3"/>
      <c r="H170" s="3"/>
      <c r="I170" s="3"/>
      <c r="J170" s="1"/>
      <c r="K170" s="1"/>
      <c r="L170" s="1"/>
      <c r="M170" s="1"/>
      <c r="N170" s="1"/>
      <c r="O170" s="1"/>
      <c r="P170" s="1"/>
      <c r="Q170" s="1"/>
      <c r="R170" s="1"/>
      <c r="S170" s="1"/>
      <c r="T170" s="1"/>
      <c r="U170" s="1"/>
      <c r="V170" s="1"/>
      <c r="W170" s="1"/>
      <c r="X170" s="1"/>
      <c r="Y170" s="1"/>
      <c r="Z170" s="1"/>
      <c r="AA170" s="1"/>
      <c r="AB170" s="1"/>
      <c r="AC170" s="1"/>
      <c r="AD170" s="1"/>
      <c r="AE170" s="1"/>
      <c r="AF170" s="1"/>
    </row>
    <row r="171" spans="1:32" s="2" customFormat="1" ht="12.75" x14ac:dyDescent="0.2">
      <c r="A171" s="13">
        <v>9</v>
      </c>
      <c r="B171" s="83">
        <f t="array" ref="B171">SUM(IF($F$116:$F$119-$E$116:$E$119&gt;365.25*$A171,1,0)*IF($F$116:$F$119-$E$116:$E$119&lt;=365.25*($A171+1),1,0)*IF($F$116:$F$119&gt;EOMONTH(ValDate,-60),1,0))</f>
        <v>0</v>
      </c>
      <c r="C171" s="30"/>
      <c r="D171" s="79"/>
      <c r="E171" s="79"/>
      <c r="F171" s="3"/>
      <c r="G171" s="3"/>
      <c r="H171" s="3"/>
      <c r="I171" s="3"/>
      <c r="J171" s="1"/>
      <c r="K171" s="1"/>
      <c r="L171" s="1"/>
      <c r="M171" s="1"/>
      <c r="N171" s="1"/>
      <c r="O171" s="1"/>
      <c r="P171" s="1"/>
      <c r="Q171" s="1"/>
      <c r="R171" s="1"/>
      <c r="S171" s="1"/>
      <c r="T171" s="1"/>
      <c r="U171" s="1"/>
      <c r="V171" s="1"/>
      <c r="W171" s="1"/>
      <c r="X171" s="1"/>
      <c r="Y171" s="1"/>
      <c r="Z171" s="1"/>
      <c r="AA171" s="1"/>
      <c r="AB171" s="1"/>
      <c r="AC171" s="1"/>
      <c r="AD171" s="1"/>
      <c r="AE171" s="1"/>
      <c r="AF171" s="1"/>
    </row>
    <row r="172" spans="1:32" s="2" customFormat="1" ht="12.75" x14ac:dyDescent="0.2">
      <c r="A172" s="13">
        <v>10</v>
      </c>
      <c r="B172" s="83">
        <f t="array" ref="B172">SUM(IF($F$116:$F$119-$E$116:$E$119&gt;365.25*$A172,1,0)*IF($F$116:$F$119-$E$116:$E$119&lt;=365.25*($A172+1),1,0)*IF($F$116:$F$119&gt;EOMONTH(ValDate,-60),1,0))</f>
        <v>0</v>
      </c>
      <c r="C172" s="30"/>
      <c r="D172" s="79"/>
      <c r="E172" s="79"/>
      <c r="F172" s="3"/>
      <c r="G172" s="3"/>
      <c r="H172" s="3"/>
      <c r="I172" s="3"/>
      <c r="J172" s="1"/>
      <c r="K172" s="1"/>
      <c r="L172" s="1"/>
      <c r="M172" s="1"/>
      <c r="N172" s="1"/>
      <c r="O172" s="1"/>
      <c r="P172" s="1"/>
      <c r="Q172" s="1"/>
      <c r="R172" s="1"/>
      <c r="S172" s="1"/>
      <c r="T172" s="1"/>
      <c r="U172" s="1"/>
      <c r="V172" s="1"/>
      <c r="W172" s="1"/>
      <c r="X172" s="1"/>
      <c r="Y172" s="1"/>
      <c r="Z172" s="1"/>
      <c r="AA172" s="1"/>
      <c r="AB172" s="1"/>
      <c r="AC172" s="1"/>
      <c r="AD172" s="1"/>
      <c r="AE172" s="1"/>
      <c r="AF172" s="1"/>
    </row>
    <row r="173" spans="1:32" s="2" customFormat="1" ht="12.75" x14ac:dyDescent="0.2">
      <c r="A173" s="13">
        <v>11</v>
      </c>
      <c r="B173" s="83">
        <f t="array" ref="B173">SUM(IF($F$116:$F$119-$E$116:$E$119&gt;365.25*$A173,1,0)*IF($F$116:$F$119-$E$116:$E$119&lt;=365.25*($A173+1),1,0)*IF($F$116:$F$119&gt;EOMONTH(ValDate,-60),1,0))</f>
        <v>0</v>
      </c>
      <c r="C173" s="30"/>
      <c r="D173" s="79"/>
      <c r="E173" s="79"/>
      <c r="F173" s="3"/>
      <c r="G173" s="3"/>
      <c r="H173" s="3"/>
      <c r="I173" s="3"/>
      <c r="J173" s="1"/>
      <c r="K173" s="1"/>
      <c r="L173" s="1"/>
      <c r="M173" s="1"/>
      <c r="N173" s="1"/>
      <c r="O173" s="1"/>
      <c r="P173" s="1"/>
      <c r="Q173" s="1"/>
      <c r="R173" s="1"/>
      <c r="S173" s="1"/>
      <c r="T173" s="1"/>
      <c r="U173" s="1"/>
      <c r="V173" s="1"/>
      <c r="W173" s="1"/>
      <c r="X173" s="1"/>
      <c r="Y173" s="1"/>
      <c r="Z173" s="1"/>
      <c r="AA173" s="1"/>
      <c r="AB173" s="1"/>
      <c r="AC173" s="1"/>
      <c r="AD173" s="1"/>
      <c r="AE173" s="1"/>
      <c r="AF173" s="1"/>
    </row>
    <row r="174" spans="1:32" s="2" customFormat="1" ht="12.75" x14ac:dyDescent="0.2">
      <c r="A174" s="13">
        <v>12</v>
      </c>
      <c r="B174" s="83">
        <f t="array" ref="B174">SUM(IF($F$116:$F$119-$E$116:$E$119&gt;365.25*$A174,1,0)*IF($F$116:$F$119-$E$116:$E$119&lt;=365.25*($A174+1),1,0)*IF($F$116:$F$119&gt;EOMONTH(ValDate,-60),1,0))</f>
        <v>0</v>
      </c>
      <c r="C174" s="30"/>
      <c r="D174" s="79"/>
      <c r="E174" s="79"/>
      <c r="F174" s="3"/>
      <c r="G174" s="3"/>
      <c r="H174" s="3"/>
      <c r="I174" s="3"/>
      <c r="J174" s="1"/>
      <c r="K174" s="1"/>
      <c r="L174" s="1"/>
      <c r="M174" s="1"/>
      <c r="N174" s="1"/>
      <c r="O174" s="1"/>
      <c r="P174" s="1"/>
      <c r="Q174" s="1"/>
      <c r="R174" s="1"/>
      <c r="S174" s="1"/>
      <c r="T174" s="1"/>
      <c r="U174" s="1"/>
      <c r="V174" s="1"/>
      <c r="W174" s="1"/>
      <c r="X174" s="1"/>
      <c r="Y174" s="1"/>
      <c r="Z174" s="1"/>
      <c r="AA174" s="1"/>
      <c r="AB174" s="1"/>
      <c r="AC174" s="1"/>
      <c r="AD174" s="1"/>
      <c r="AE174" s="1"/>
      <c r="AF174" s="1"/>
    </row>
    <row r="175" spans="1:32" s="2" customFormat="1" ht="12.75" x14ac:dyDescent="0.2">
      <c r="A175" s="13">
        <v>13</v>
      </c>
      <c r="B175" s="83">
        <f t="array" ref="B175">SUM(IF($F$116:$F$119-$E$116:$E$119&gt;365.25*$A175,1,0)*IF($F$116:$F$119-$E$116:$E$119&lt;=365.25*($A175+1),1,0)*IF($F$116:$F$119&gt;EOMONTH(ValDate,-60),1,0))</f>
        <v>0</v>
      </c>
      <c r="C175" s="30"/>
      <c r="D175" s="79"/>
      <c r="E175" s="79"/>
      <c r="F175" s="3"/>
      <c r="G175" s="3"/>
      <c r="H175" s="3"/>
      <c r="I175" s="3"/>
      <c r="J175" s="1"/>
      <c r="K175" s="1"/>
      <c r="L175" s="1"/>
      <c r="M175" s="1"/>
      <c r="N175" s="1"/>
      <c r="O175" s="1"/>
      <c r="P175" s="1"/>
      <c r="Q175" s="1"/>
      <c r="R175" s="1"/>
      <c r="S175" s="1"/>
      <c r="T175" s="1"/>
      <c r="U175" s="1"/>
      <c r="V175" s="1"/>
      <c r="W175" s="1"/>
      <c r="X175" s="1"/>
      <c r="Y175" s="1"/>
      <c r="Z175" s="1"/>
      <c r="AA175" s="1"/>
      <c r="AB175" s="1"/>
      <c r="AC175" s="1"/>
      <c r="AD175" s="1"/>
      <c r="AE175" s="1"/>
      <c r="AF175" s="1"/>
    </row>
    <row r="176" spans="1:32" s="2" customFormat="1" ht="12.75" x14ac:dyDescent="0.2">
      <c r="A176" s="13">
        <v>14</v>
      </c>
      <c r="B176" s="83">
        <f t="array" ref="B176">SUM(IF($F$116:$F$119-$E$116:$E$119&gt;365.25*$A176,1,0)*IF($F$116:$F$119-$E$116:$E$119&lt;=365.25*($A176+1),1,0)*IF($F$116:$F$119&gt;EOMONTH(ValDate,-60),1,0))</f>
        <v>0</v>
      </c>
      <c r="C176" s="30"/>
      <c r="D176" s="79"/>
      <c r="E176" s="79"/>
      <c r="F176" s="3"/>
      <c r="G176" s="3"/>
      <c r="H176" s="3"/>
      <c r="I176" s="3"/>
      <c r="J176" s="1"/>
      <c r="K176" s="1"/>
      <c r="L176" s="1"/>
      <c r="M176" s="1"/>
      <c r="N176" s="1"/>
      <c r="O176" s="1"/>
      <c r="P176" s="1"/>
      <c r="Q176" s="1"/>
      <c r="R176" s="1"/>
      <c r="S176" s="1"/>
      <c r="T176" s="1"/>
      <c r="U176" s="1"/>
      <c r="V176" s="1"/>
      <c r="W176" s="1"/>
      <c r="X176" s="1"/>
      <c r="Y176" s="1"/>
      <c r="Z176" s="1"/>
      <c r="AA176" s="1"/>
      <c r="AB176" s="1"/>
      <c r="AC176" s="1"/>
      <c r="AD176" s="1"/>
      <c r="AE176" s="1"/>
      <c r="AF176" s="1"/>
    </row>
    <row r="177" spans="1:32" s="2" customFormat="1" ht="12.75" x14ac:dyDescent="0.2">
      <c r="A177" s="13">
        <v>15</v>
      </c>
      <c r="B177" s="83">
        <f t="array" ref="B177">SUM(IF($F$116:$F$119-$E$116:$E$119&gt;365.25*$A177,1,0)*IF($F$116:$F$119-$E$116:$E$119&lt;=365.25*($A177+1),1,0)*IF($F$116:$F$119&gt;EOMONTH(ValDate,-60),1,0))</f>
        <v>0</v>
      </c>
      <c r="C177" s="30"/>
      <c r="D177" s="79"/>
      <c r="E177" s="79"/>
      <c r="F177" s="3"/>
      <c r="G177" s="3"/>
      <c r="H177" s="3"/>
      <c r="I177" s="3"/>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s="2" customFormat="1" ht="11.25" x14ac:dyDescent="0.2">
      <c r="A178" s="13">
        <v>16</v>
      </c>
      <c r="B178" s="83">
        <f t="array" ref="B178">SUM(IF($F$116:$F$119-$E$116:$E$119&gt;365.25*$A178,1,0)*IF($F$116:$F$119-$E$116:$E$119&lt;=365.25*($A178+1),1,0)*IF($F$116:$F$119&gt;EOMONTH(ValDate,-60),1,0))</f>
        <v>0</v>
      </c>
      <c r="C178" s="30"/>
      <c r="D178" s="79"/>
      <c r="E178" s="79"/>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s="2" customFormat="1" ht="11.25" x14ac:dyDescent="0.2">
      <c r="A179" s="13">
        <v>17</v>
      </c>
      <c r="B179" s="83">
        <f t="array" ref="B179">SUM(IF($F$116:$F$119-$E$116:$E$119&gt;365.25*$A179,1,0)*IF($F$116:$F$119-$E$116:$E$119&lt;=365.25*($A179+1),1,0)*IF($F$116:$F$119&gt;EOMONTH(ValDate,-60),1,0))</f>
        <v>0</v>
      </c>
      <c r="C179" s="30"/>
      <c r="D179" s="79"/>
      <c r="E179" s="79"/>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s="2" customFormat="1" ht="11.25" x14ac:dyDescent="0.2">
      <c r="A180" s="13">
        <v>18</v>
      </c>
      <c r="B180" s="83">
        <f t="array" ref="B180">SUM(IF($F$116:$F$119-$E$116:$E$119&gt;365.25*$A180,1,0)*IF($F$116:$F$119-$E$116:$E$119&lt;=365.25*($A180+1),1,0)*IF($F$116:$F$119&gt;EOMONTH(ValDate,-60),1,0))</f>
        <v>0</v>
      </c>
      <c r="C180" s="30"/>
      <c r="D180" s="79"/>
      <c r="E180" s="79"/>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s="2" customFormat="1" ht="11.25" x14ac:dyDescent="0.2">
      <c r="A181" s="13">
        <v>19</v>
      </c>
      <c r="B181" s="83">
        <f t="array" ref="B181">SUM(IF($F$116:$F$119-$E$116:$E$119&gt;365.25*$A181,1,0)*IF($F$116:$F$119-$E$116:$E$119&lt;=365.25*($A181+1),1,0)*IF($F$116:$F$119&gt;EOMONTH(ValDate,-60),1,0))</f>
        <v>0</v>
      </c>
      <c r="C181" s="30"/>
      <c r="D181" s="79"/>
      <c r="E181" s="79"/>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s="2" customFormat="1" ht="12" thickBot="1" x14ac:dyDescent="0.25">
      <c r="A182" s="13" t="s">
        <v>11</v>
      </c>
      <c r="B182" s="31">
        <f>SUM(B162:B181)</f>
        <v>0</v>
      </c>
      <c r="C182" s="30"/>
      <c r="D182" s="79"/>
      <c r="E182" s="79"/>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s="2" customFormat="1" ht="11.25" x14ac:dyDescent="0.2">
      <c r="A183" s="28"/>
      <c r="B183" s="28"/>
      <c r="C183" s="1"/>
      <c r="D183" s="79"/>
      <c r="E183" s="79"/>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s="2" customFormat="1" ht="11.25" x14ac:dyDescent="0.2">
      <c r="A184" s="1"/>
      <c r="B184" s="1"/>
      <c r="C184" s="1"/>
      <c r="D184" s="79"/>
      <c r="E184" s="79"/>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s="2" customFormat="1" ht="11.25" x14ac:dyDescent="0.2">
      <c r="A185" s="1"/>
      <c r="B185" s="1"/>
      <c r="C185" s="1"/>
      <c r="D185" s="79"/>
      <c r="E185" s="79"/>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s="2" customFormat="1" ht="11.25" x14ac:dyDescent="0.2">
      <c r="A186" s="1"/>
      <c r="B186" s="1"/>
      <c r="C186" s="1"/>
      <c r="D186" s="79"/>
      <c r="E186" s="79"/>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s="2" customFormat="1" ht="11.25" x14ac:dyDescent="0.2">
      <c r="A187" s="1"/>
      <c r="B187" s="1"/>
      <c r="C187" s="1"/>
      <c r="D187" s="79"/>
      <c r="E187" s="79"/>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s="2" customFormat="1" ht="11.25" x14ac:dyDescent="0.2">
      <c r="A188" s="1"/>
      <c r="B188" s="1"/>
      <c r="C188" s="1"/>
      <c r="D188" s="79"/>
      <c r="E188" s="79"/>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s="2" customFormat="1" ht="11.25" x14ac:dyDescent="0.2">
      <c r="A189" s="1"/>
      <c r="B189" s="1"/>
      <c r="C189" s="1"/>
      <c r="D189" s="79"/>
      <c r="E189" s="79"/>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s="2" customFormat="1" ht="11.25" x14ac:dyDescent="0.2">
      <c r="A190" s="1"/>
      <c r="B190" s="1"/>
      <c r="C190" s="1"/>
      <c r="D190" s="79"/>
      <c r="E190" s="79"/>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s="2" customFormat="1" ht="11.25" x14ac:dyDescent="0.2">
      <c r="A191" s="1"/>
      <c r="B191" s="1"/>
      <c r="C191" s="1"/>
      <c r="D191" s="79"/>
      <c r="E191" s="79"/>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s="2" customFormat="1" ht="11.25" x14ac:dyDescent="0.2">
      <c r="A192" s="1"/>
      <c r="B192" s="1"/>
      <c r="C192" s="1"/>
      <c r="D192" s="79"/>
      <c r="E192" s="79"/>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s="2" customFormat="1" ht="11.25" x14ac:dyDescent="0.2">
      <c r="A193" s="1"/>
      <c r="B193" s="1"/>
      <c r="C193" s="1"/>
      <c r="D193" s="79"/>
      <c r="E193" s="79"/>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s="2" customFormat="1" ht="11.25" x14ac:dyDescent="0.2">
      <c r="A194" s="1"/>
      <c r="B194" s="1"/>
      <c r="C194" s="1"/>
      <c r="D194" s="79"/>
      <c r="E194" s="79"/>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s="2" customFormat="1" ht="11.25" x14ac:dyDescent="0.2">
      <c r="A195" s="1"/>
      <c r="B195" s="1"/>
      <c r="C195" s="1"/>
      <c r="D195" s="79"/>
      <c r="E195" s="79"/>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s="2" customFormat="1" ht="11.25" x14ac:dyDescent="0.2">
      <c r="A196" s="1"/>
      <c r="B196" s="1"/>
      <c r="C196" s="1"/>
      <c r="D196" s="79"/>
      <c r="E196" s="79"/>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s="2" customFormat="1" ht="11.25" x14ac:dyDescent="0.2">
      <c r="A197" s="1"/>
      <c r="B197" s="1"/>
      <c r="C197" s="1"/>
      <c r="D197" s="79"/>
      <c r="E197" s="79"/>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s="2" customFormat="1" ht="11.25" x14ac:dyDescent="0.2">
      <c r="A198" s="1"/>
      <c r="B198" s="1"/>
      <c r="C198" s="1"/>
      <c r="D198" s="79"/>
      <c r="E198" s="79"/>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s="2" customFormat="1" ht="11.25" x14ac:dyDescent="0.2">
      <c r="A199" s="1"/>
      <c r="B199" s="1"/>
      <c r="C199" s="1"/>
      <c r="D199" s="79"/>
      <c r="E199" s="79"/>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s="2" customFormat="1" ht="11.25" x14ac:dyDescent="0.2">
      <c r="A200" s="1"/>
      <c r="B200" s="1"/>
      <c r="C200" s="1"/>
      <c r="D200" s="79"/>
      <c r="E200" s="79"/>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s="2" customFormat="1" ht="11.25" x14ac:dyDescent="0.2">
      <c r="A201" s="1"/>
      <c r="B201" s="1"/>
      <c r="C201" s="1"/>
      <c r="D201" s="79"/>
      <c r="E201" s="79"/>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s="2" customFormat="1" ht="11.25" x14ac:dyDescent="0.2">
      <c r="A202" s="1"/>
      <c r="B202" s="1"/>
      <c r="C202" s="1"/>
      <c r="D202" s="79"/>
      <c r="E202" s="79"/>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s="2" customFormat="1" ht="11.25" x14ac:dyDescent="0.2">
      <c r="A203" s="1"/>
      <c r="B203" s="1"/>
      <c r="C203" s="1"/>
      <c r="D203" s="79"/>
      <c r="E203" s="79"/>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s="2" customFormat="1" ht="11.25" x14ac:dyDescent="0.2">
      <c r="A204" s="1"/>
      <c r="B204" s="1"/>
      <c r="C204" s="1"/>
      <c r="D204" s="79"/>
      <c r="E204" s="79"/>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s="2" customFormat="1" ht="11.25" x14ac:dyDescent="0.2">
      <c r="A205" s="1"/>
      <c r="B205" s="1"/>
      <c r="C205" s="1"/>
      <c r="D205" s="79"/>
      <c r="E205" s="79"/>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s="2" customFormat="1" ht="11.25" x14ac:dyDescent="0.2">
      <c r="A206" s="1"/>
      <c r="B206" s="1"/>
      <c r="C206" s="1"/>
      <c r="D206" s="79"/>
      <c r="E206" s="79"/>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s="2" customFormat="1" ht="11.25" x14ac:dyDescent="0.2">
      <c r="A207" s="1"/>
      <c r="B207" s="1"/>
      <c r="C207" s="1"/>
      <c r="D207" s="79"/>
      <c r="E207" s="79"/>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s="2" customFormat="1" ht="11.25" x14ac:dyDescent="0.2">
      <c r="A208" s="1"/>
      <c r="B208" s="1"/>
      <c r="C208" s="1"/>
      <c r="D208" s="79"/>
      <c r="E208" s="79"/>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s="2" customFormat="1" ht="11.25" x14ac:dyDescent="0.2">
      <c r="A209" s="1"/>
      <c r="B209" s="1"/>
      <c r="C209" s="1"/>
      <c r="D209" s="79"/>
      <c r="E209" s="79"/>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s="2" customFormat="1" ht="11.25" x14ac:dyDescent="0.2">
      <c r="A210" s="1"/>
      <c r="B210" s="1"/>
      <c r="C210" s="1"/>
      <c r="D210" s="79"/>
      <c r="E210" s="79"/>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s="2" customFormat="1" ht="11.25" x14ac:dyDescent="0.2">
      <c r="A211" s="1"/>
      <c r="B211" s="1"/>
      <c r="C211" s="1"/>
      <c r="D211" s="79"/>
      <c r="E211" s="79"/>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s="2" customFormat="1" ht="11.25" x14ac:dyDescent="0.2">
      <c r="A212" s="1"/>
      <c r="B212" s="1"/>
      <c r="C212" s="1"/>
      <c r="D212" s="79"/>
      <c r="E212" s="79"/>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s="2" customFormat="1" ht="11.25" x14ac:dyDescent="0.2">
      <c r="A213" s="1"/>
      <c r="B213" s="1"/>
      <c r="C213" s="1"/>
      <c r="D213" s="79"/>
      <c r="E213" s="79"/>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s="2" customFormat="1" ht="11.25" x14ac:dyDescent="0.2">
      <c r="A214" s="1"/>
      <c r="B214" s="1"/>
      <c r="C214" s="1"/>
      <c r="D214" s="79"/>
      <c r="E214" s="79"/>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s="2" customFormat="1" ht="11.25" x14ac:dyDescent="0.2">
      <c r="A215" s="1"/>
      <c r="B215" s="1"/>
      <c r="C215" s="1"/>
      <c r="D215" s="79"/>
      <c r="E215" s="79"/>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s="2" customFormat="1" ht="11.25" x14ac:dyDescent="0.2">
      <c r="A216" s="1"/>
      <c r="B216" s="1"/>
      <c r="C216" s="1"/>
      <c r="D216" s="79"/>
      <c r="E216" s="79"/>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s="2" customFormat="1" ht="11.25" x14ac:dyDescent="0.2">
      <c r="A217" s="1"/>
      <c r="B217" s="1"/>
      <c r="C217" s="1"/>
      <c r="D217" s="79"/>
      <c r="E217" s="79"/>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s="2" customFormat="1" ht="11.25" x14ac:dyDescent="0.2">
      <c r="A218" s="1"/>
      <c r="B218" s="1"/>
      <c r="C218" s="1"/>
      <c r="D218" s="79"/>
      <c r="E218" s="79"/>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s="2" customFormat="1" ht="11.25" x14ac:dyDescent="0.2">
      <c r="A219" s="1"/>
      <c r="B219" s="1"/>
      <c r="C219" s="1"/>
      <c r="D219" s="79"/>
      <c r="E219" s="79"/>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s="2" customFormat="1" ht="11.25" x14ac:dyDescent="0.2">
      <c r="A220" s="1"/>
      <c r="B220" s="1"/>
      <c r="C220" s="1"/>
      <c r="D220" s="79"/>
      <c r="E220" s="79"/>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s="2" customFormat="1" ht="11.25" x14ac:dyDescent="0.2">
      <c r="A221" s="1"/>
      <c r="B221" s="1"/>
      <c r="C221" s="1"/>
      <c r="D221" s="79"/>
      <c r="E221" s="79"/>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s="2" customFormat="1" ht="11.25" x14ac:dyDescent="0.2">
      <c r="A222" s="1"/>
      <c r="B222" s="1"/>
      <c r="C222" s="1"/>
      <c r="D222" s="79"/>
      <c r="E222" s="79"/>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s="2" customFormat="1" ht="11.25" x14ac:dyDescent="0.2">
      <c r="A223" s="1"/>
      <c r="B223" s="1"/>
      <c r="C223" s="1"/>
      <c r="D223" s="79"/>
      <c r="E223" s="79"/>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s="2" customFormat="1" ht="11.25" x14ac:dyDescent="0.2">
      <c r="A224" s="1"/>
      <c r="B224" s="1"/>
      <c r="C224" s="1"/>
      <c r="D224" s="79"/>
      <c r="E224" s="79"/>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s="2" customFormat="1" ht="11.25" x14ac:dyDescent="0.2">
      <c r="A225" s="1"/>
      <c r="B225" s="1"/>
      <c r="C225" s="1"/>
      <c r="D225" s="79"/>
      <c r="E225" s="79"/>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s="2" customFormat="1" ht="11.25" x14ac:dyDescent="0.2">
      <c r="A226" s="1"/>
      <c r="B226"/>
      <c r="C226"/>
      <c r="D226" s="63"/>
      <c r="E226" s="63"/>
      <c r="F226"/>
      <c r="G226"/>
      <c r="H226"/>
      <c r="I226"/>
      <c r="J226"/>
      <c r="K226"/>
      <c r="L226"/>
      <c r="M226"/>
      <c r="N226"/>
      <c r="O226"/>
      <c r="P226"/>
      <c r="Q226"/>
      <c r="R226"/>
      <c r="S226"/>
      <c r="T226"/>
      <c r="U226"/>
      <c r="V226"/>
      <c r="W226"/>
      <c r="X226"/>
      <c r="Y226"/>
      <c r="Z226"/>
      <c r="AA226"/>
      <c r="AB226"/>
      <c r="AC226"/>
      <c r="AD226"/>
      <c r="AE226"/>
      <c r="AF226" s="1"/>
    </row>
    <row r="227" spans="1:32" s="2" customFormat="1" ht="11.25" x14ac:dyDescent="0.2">
      <c r="A227" s="1"/>
      <c r="B227"/>
      <c r="C227"/>
      <c r="D227" s="63"/>
      <c r="E227" s="63"/>
      <c r="F227"/>
      <c r="G227"/>
      <c r="H227"/>
      <c r="I227"/>
      <c r="J227"/>
      <c r="K227"/>
      <c r="L227"/>
      <c r="M227"/>
      <c r="N227"/>
      <c r="O227"/>
      <c r="P227"/>
      <c r="Q227"/>
      <c r="R227"/>
      <c r="S227"/>
      <c r="T227"/>
      <c r="U227"/>
      <c r="V227"/>
      <c r="W227"/>
      <c r="X227"/>
      <c r="Y227"/>
      <c r="Z227"/>
      <c r="AA227"/>
      <c r="AB227"/>
      <c r="AC227"/>
      <c r="AD227"/>
      <c r="AE227"/>
    </row>
    <row r="228" spans="1:32" s="2" customFormat="1" ht="11.25" x14ac:dyDescent="0.2">
      <c r="A228" s="1"/>
      <c r="B228" s="1"/>
      <c r="C228" s="1"/>
      <c r="D228" s="79"/>
      <c r="E228" s="79"/>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1:32" s="2" customFormat="1" ht="11.25" x14ac:dyDescent="0.2">
      <c r="A229" s="1"/>
      <c r="B229" s="1"/>
      <c r="C229" s="1"/>
      <c r="D229" s="79"/>
      <c r="E229" s="79"/>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1:32" s="2" customFormat="1" ht="11.25" x14ac:dyDescent="0.2">
      <c r="A230" s="1"/>
      <c r="B230" s="1"/>
      <c r="C230" s="1"/>
      <c r="D230" s="79"/>
      <c r="E230" s="79"/>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1:32" s="2" customFormat="1" ht="11.25" x14ac:dyDescent="0.2">
      <c r="A231" s="1"/>
      <c r="B231" s="1"/>
      <c r="C231" s="1"/>
      <c r="D231" s="79"/>
      <c r="E231" s="79"/>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1:32" s="2" customFormat="1" ht="11.25" x14ac:dyDescent="0.2">
      <c r="A232" s="1"/>
      <c r="B232" s="1"/>
      <c r="C232" s="1"/>
      <c r="D232" s="79"/>
      <c r="E232" s="79"/>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1:32" s="2" customFormat="1" ht="11.25" x14ac:dyDescent="0.2">
      <c r="A233" s="1"/>
      <c r="B233" s="1"/>
      <c r="C233" s="1"/>
      <c r="D233" s="79"/>
      <c r="E233" s="79"/>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1:32" s="2" customFormat="1" ht="11.25" x14ac:dyDescent="0.2">
      <c r="A234" s="1"/>
      <c r="B234" s="1"/>
      <c r="C234" s="1"/>
      <c r="D234" s="79"/>
      <c r="E234" s="79"/>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1:32" s="2" customFormat="1" ht="11.25" x14ac:dyDescent="0.2">
      <c r="A235" s="1"/>
      <c r="B235" s="1"/>
      <c r="C235" s="1"/>
      <c r="D235" s="79"/>
      <c r="E235" s="79"/>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1:32" s="2" customFormat="1" ht="11.25" x14ac:dyDescent="0.2">
      <c r="A236" s="1"/>
      <c r="B236" s="1"/>
      <c r="C236" s="1"/>
      <c r="D236" s="79"/>
      <c r="E236" s="79"/>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1:32" s="2" customFormat="1" ht="11.25" x14ac:dyDescent="0.2">
      <c r="A237" s="1"/>
      <c r="B237" s="1"/>
      <c r="C237" s="1"/>
      <c r="D237" s="79"/>
      <c r="E237" s="79"/>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1:32" s="2" customFormat="1" ht="11.25" x14ac:dyDescent="0.2">
      <c r="A238" s="1"/>
      <c r="B238" s="1"/>
      <c r="C238" s="1"/>
      <c r="D238" s="79"/>
      <c r="E238" s="79"/>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1:32" s="2" customFormat="1" ht="11.25" x14ac:dyDescent="0.2">
      <c r="A239" s="1"/>
      <c r="B239" s="1"/>
      <c r="C239" s="1"/>
      <c r="D239" s="79"/>
      <c r="E239" s="79"/>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1:32" s="2" customFormat="1" ht="11.25" x14ac:dyDescent="0.2">
      <c r="A240" s="1"/>
      <c r="B240" s="1"/>
      <c r="C240" s="1"/>
      <c r="D240" s="79"/>
      <c r="E240" s="79"/>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1:32" s="2" customFormat="1" ht="11.25" x14ac:dyDescent="0.2">
      <c r="A241" s="1"/>
      <c r="B241" s="1"/>
      <c r="C241" s="1"/>
      <c r="D241" s="79"/>
      <c r="E241" s="79"/>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1:32" s="2" customFormat="1" ht="11.25" x14ac:dyDescent="0.2">
      <c r="A242" s="1"/>
      <c r="B242" s="1"/>
      <c r="C242" s="1"/>
      <c r="D242" s="79"/>
      <c r="E242" s="79"/>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1:32" s="2" customFormat="1" ht="11.25" x14ac:dyDescent="0.2">
      <c r="A243" s="1"/>
      <c r="B243" s="1"/>
      <c r="C243" s="1"/>
      <c r="D243" s="79"/>
      <c r="E243" s="79"/>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1:32" s="2" customFormat="1" ht="11.25" x14ac:dyDescent="0.2">
      <c r="A244" s="1"/>
      <c r="B244" s="1"/>
      <c r="C244" s="1"/>
      <c r="D244" s="79"/>
      <c r="E244" s="79"/>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1:32" s="2" customFormat="1" ht="11.25" x14ac:dyDescent="0.2">
      <c r="A245" s="1"/>
      <c r="B245" s="1"/>
      <c r="C245" s="1"/>
      <c r="D245" s="79"/>
      <c r="E245" s="79"/>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1:32" s="2" customFormat="1" ht="11.25" x14ac:dyDescent="0.2">
      <c r="A246" s="1"/>
      <c r="B246" s="1"/>
      <c r="C246" s="1"/>
      <c r="D246" s="79"/>
      <c r="E246" s="79"/>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1:32" s="2" customFormat="1" ht="11.25" x14ac:dyDescent="0.2">
      <c r="A247" s="1"/>
      <c r="B247" s="1"/>
      <c r="C247" s="1"/>
      <c r="D247" s="79"/>
      <c r="E247" s="79"/>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1:32" s="2" customFormat="1" ht="11.25" x14ac:dyDescent="0.2">
      <c r="A248" s="1"/>
      <c r="B248" s="1"/>
      <c r="C248" s="1"/>
      <c r="D248" s="79"/>
      <c r="E248" s="79"/>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1:32" s="2" customFormat="1" ht="11.25" x14ac:dyDescent="0.2">
      <c r="A249" s="1"/>
      <c r="B249" s="1"/>
      <c r="C249" s="1"/>
      <c r="D249" s="79"/>
      <c r="E249" s="79"/>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1:32" s="2" customFormat="1" ht="11.25" x14ac:dyDescent="0.2">
      <c r="A250" s="1"/>
      <c r="B250" s="1"/>
      <c r="C250" s="1"/>
      <c r="D250" s="79"/>
      <c r="E250" s="79"/>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1:32" s="2" customFormat="1" ht="11.25" x14ac:dyDescent="0.2">
      <c r="A251" s="1"/>
      <c r="B251" s="1"/>
      <c r="C251" s="1"/>
      <c r="D251" s="79"/>
      <c r="E251" s="79"/>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1:32" s="2" customFormat="1" ht="11.25" x14ac:dyDescent="0.2">
      <c r="A252" s="1"/>
      <c r="B252" s="1"/>
      <c r="C252" s="1"/>
      <c r="D252" s="79"/>
      <c r="E252" s="79"/>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1:32" s="2" customFormat="1" ht="11.25" x14ac:dyDescent="0.2">
      <c r="A253" s="1"/>
      <c r="B253" s="1"/>
      <c r="C253" s="1"/>
      <c r="D253" s="79"/>
      <c r="E253" s="79"/>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1:32" s="2" customFormat="1" ht="11.25" x14ac:dyDescent="0.2">
      <c r="A254" s="1"/>
      <c r="B254" s="1"/>
      <c r="C254" s="1"/>
      <c r="D254" s="79"/>
      <c r="E254" s="79"/>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1:32" s="2" customFormat="1" ht="11.25" x14ac:dyDescent="0.2">
      <c r="A255" s="1"/>
      <c r="B255" s="1"/>
      <c r="C255" s="1"/>
      <c r="D255" s="79"/>
      <c r="E255" s="79"/>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1:32" s="2" customFormat="1" ht="11.25" x14ac:dyDescent="0.2">
      <c r="A256" s="1"/>
      <c r="B256" s="1"/>
      <c r="C256" s="1"/>
      <c r="D256" s="79"/>
      <c r="E256" s="79"/>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1:32" s="2" customFormat="1" ht="11.25" x14ac:dyDescent="0.2">
      <c r="A257" s="1"/>
      <c r="B257" s="1"/>
      <c r="C257" s="1"/>
      <c r="D257" s="79"/>
      <c r="E257" s="79"/>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1:32" s="2" customFormat="1" ht="11.25" x14ac:dyDescent="0.2">
      <c r="A258" s="1"/>
      <c r="B258" s="1"/>
      <c r="C258" s="1"/>
      <c r="D258" s="79"/>
      <c r="E258" s="79"/>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1:32" s="2" customFormat="1" ht="11.25" x14ac:dyDescent="0.2">
      <c r="A259" s="1"/>
      <c r="B259" s="1"/>
      <c r="C259" s="1"/>
      <c r="D259" s="79"/>
      <c r="E259" s="79"/>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1:32" s="2" customFormat="1" ht="11.25" x14ac:dyDescent="0.2">
      <c r="A260" s="1"/>
      <c r="B260" s="1"/>
      <c r="C260" s="1"/>
      <c r="D260" s="79"/>
      <c r="E260" s="79"/>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1:32" s="2" customFormat="1" ht="11.25" x14ac:dyDescent="0.2">
      <c r="A261" s="1"/>
      <c r="B261" s="1"/>
      <c r="C261" s="1"/>
      <c r="D261" s="79"/>
      <c r="E261" s="79"/>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1:32" s="2" customFormat="1" ht="11.25" x14ac:dyDescent="0.2">
      <c r="A262" s="1"/>
      <c r="B262" s="1"/>
      <c r="C262" s="1"/>
      <c r="D262" s="79"/>
      <c r="E262" s="79"/>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1:32" s="2" customFormat="1" ht="11.25" x14ac:dyDescent="0.2">
      <c r="A263" s="1"/>
      <c r="B263" s="1"/>
      <c r="C263" s="1"/>
      <c r="D263" s="79"/>
      <c r="E263" s="79"/>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1:32" s="2" customFormat="1" ht="11.25" x14ac:dyDescent="0.2">
      <c r="A264" s="1"/>
      <c r="B264" s="1"/>
      <c r="C264" s="1"/>
      <c r="D264" s="79"/>
      <c r="E264" s="79"/>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1:32" s="2" customFormat="1" ht="11.25" x14ac:dyDescent="0.2">
      <c r="A265" s="1"/>
      <c r="B265" s="1"/>
      <c r="C265" s="1"/>
      <c r="D265" s="79"/>
      <c r="E265" s="79"/>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1:32" s="2" customFormat="1" ht="11.25" x14ac:dyDescent="0.2">
      <c r="A266" s="1"/>
      <c r="B266" s="1"/>
      <c r="C266" s="1"/>
      <c r="D266" s="79"/>
      <c r="E266" s="79"/>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1:32" s="2" customFormat="1" ht="11.25" x14ac:dyDescent="0.2">
      <c r="A267" s="1"/>
      <c r="B267" s="1"/>
      <c r="C267" s="1"/>
      <c r="D267" s="79"/>
      <c r="E267" s="79"/>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1:32" s="2" customFormat="1" ht="11.25" x14ac:dyDescent="0.2">
      <c r="A268" s="1"/>
      <c r="B268" s="1"/>
      <c r="C268" s="1"/>
      <c r="D268" s="79"/>
      <c r="E268" s="79"/>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1:32" s="2" customFormat="1" ht="11.25" x14ac:dyDescent="0.2">
      <c r="A269" s="1"/>
      <c r="B269" s="1"/>
      <c r="C269" s="1"/>
      <c r="D269" s="79"/>
      <c r="E269" s="79"/>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1:32" s="2" customFormat="1" ht="11.25" x14ac:dyDescent="0.2">
      <c r="A270" s="1"/>
      <c r="B270" s="1"/>
      <c r="C270" s="1"/>
      <c r="D270" s="79"/>
      <c r="E270" s="79"/>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1:32" s="2" customFormat="1" ht="11.25" x14ac:dyDescent="0.2">
      <c r="A271" s="1"/>
      <c r="B271" s="1"/>
      <c r="C271" s="1"/>
      <c r="D271" s="79"/>
      <c r="E271" s="79"/>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1:32" s="2" customFormat="1" ht="11.25" x14ac:dyDescent="0.2">
      <c r="A272" s="1"/>
      <c r="B272" s="1"/>
      <c r="C272" s="1"/>
      <c r="D272" s="79"/>
      <c r="E272" s="79"/>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1:32" s="2" customFormat="1" ht="11.25" x14ac:dyDescent="0.2">
      <c r="A273" s="1"/>
      <c r="B273" s="1"/>
      <c r="C273" s="1"/>
      <c r="D273" s="79"/>
      <c r="E273" s="79"/>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1:32" s="2" customFormat="1" ht="11.25" x14ac:dyDescent="0.2">
      <c r="A274" s="1"/>
      <c r="B274" s="1"/>
      <c r="C274" s="1"/>
      <c r="D274" s="79"/>
      <c r="E274" s="79"/>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1:32" s="2" customFormat="1" ht="11.25" x14ac:dyDescent="0.2">
      <c r="A275" s="1"/>
      <c r="B275" s="1"/>
      <c r="C275" s="1"/>
      <c r="D275" s="79"/>
      <c r="E275" s="79"/>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1:32" s="2" customFormat="1" ht="11.25" x14ac:dyDescent="0.2">
      <c r="A276" s="1"/>
      <c r="B276" s="1"/>
      <c r="C276" s="1"/>
      <c r="D276" s="79"/>
      <c r="E276" s="79"/>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1:32" s="2" customFormat="1" ht="11.25" x14ac:dyDescent="0.2">
      <c r="A277" s="1"/>
      <c r="B277" s="1"/>
      <c r="C277" s="1"/>
      <c r="D277" s="79"/>
      <c r="E277" s="79"/>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1:32" s="2" customFormat="1" ht="11.25" x14ac:dyDescent="0.2">
      <c r="A278" s="1"/>
      <c r="B278" s="1"/>
      <c r="C278" s="1"/>
      <c r="D278" s="79"/>
      <c r="E278" s="79"/>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1:32" s="2" customFormat="1" ht="11.25" x14ac:dyDescent="0.2">
      <c r="A279" s="1"/>
      <c r="B279" s="1"/>
      <c r="C279" s="1"/>
      <c r="D279" s="79"/>
      <c r="E279" s="79"/>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1:32" s="2" customFormat="1" ht="11.25" x14ac:dyDescent="0.2">
      <c r="A280" s="1"/>
      <c r="B280" s="1"/>
      <c r="C280" s="1"/>
      <c r="D280" s="79"/>
      <c r="E280" s="79"/>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1:32" s="2" customFormat="1" ht="11.25" x14ac:dyDescent="0.2">
      <c r="A281" s="1"/>
      <c r="B281" s="1"/>
      <c r="C281" s="1"/>
      <c r="D281" s="79"/>
      <c r="E281" s="79"/>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1:32" s="2" customFormat="1" ht="11.25" x14ac:dyDescent="0.2">
      <c r="A282" s="1"/>
      <c r="B282" s="1"/>
      <c r="C282" s="1"/>
      <c r="D282" s="79"/>
      <c r="E282" s="79"/>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1:32" s="2" customFormat="1" ht="11.25" x14ac:dyDescent="0.2">
      <c r="A283" s="1"/>
      <c r="B283" s="1"/>
      <c r="C283" s="1"/>
      <c r="D283" s="79"/>
      <c r="E283" s="79"/>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1:32" s="2" customFormat="1" ht="11.25" x14ac:dyDescent="0.2">
      <c r="A284" s="1"/>
      <c r="B284" s="1"/>
      <c r="C284" s="1"/>
      <c r="D284" s="79"/>
      <c r="E284" s="79"/>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1:32" s="2" customFormat="1" ht="11.25" x14ac:dyDescent="0.2">
      <c r="A285" s="1"/>
      <c r="B285" s="1"/>
      <c r="C285" s="1"/>
      <c r="D285" s="79"/>
      <c r="E285" s="79"/>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1:32" s="2" customFormat="1" ht="11.25" x14ac:dyDescent="0.2">
      <c r="A286" s="1"/>
      <c r="B286" s="1"/>
      <c r="C286" s="1"/>
      <c r="D286" s="79"/>
      <c r="E286" s="79"/>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1:32" s="2" customFormat="1" ht="11.25" x14ac:dyDescent="0.2">
      <c r="A287" s="1"/>
      <c r="B287" s="1"/>
      <c r="C287" s="1"/>
      <c r="D287" s="79"/>
      <c r="E287" s="79"/>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1:32" s="2" customFormat="1" ht="11.25" x14ac:dyDescent="0.2">
      <c r="A288" s="1"/>
      <c r="B288" s="1"/>
      <c r="C288" s="1"/>
      <c r="D288" s="79"/>
      <c r="E288" s="79"/>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1:32" s="2" customFormat="1" ht="11.25" x14ac:dyDescent="0.2">
      <c r="A289" s="1"/>
      <c r="B289" s="1"/>
      <c r="C289" s="1"/>
      <c r="D289" s="79"/>
      <c r="E289" s="79"/>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1:32" s="2" customFormat="1" ht="11.25" x14ac:dyDescent="0.2">
      <c r="A290" s="1"/>
      <c r="B290" s="1"/>
      <c r="C290" s="1"/>
      <c r="D290" s="79"/>
      <c r="E290" s="79"/>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1:32" s="2" customFormat="1" ht="11.25" x14ac:dyDescent="0.2">
      <c r="A291" s="1"/>
      <c r="B291" s="1"/>
      <c r="C291" s="1"/>
      <c r="D291" s="79"/>
      <c r="E291" s="79"/>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1:32" s="2" customFormat="1" ht="11.25" x14ac:dyDescent="0.2">
      <c r="A292" s="1"/>
      <c r="B292" s="1"/>
      <c r="C292" s="1"/>
      <c r="D292" s="79"/>
      <c r="E292" s="79"/>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1:32" s="2" customFormat="1" ht="11.25" x14ac:dyDescent="0.2">
      <c r="A293" s="1"/>
      <c r="B293" s="1"/>
      <c r="C293" s="1"/>
      <c r="D293" s="79"/>
      <c r="E293" s="79"/>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1:32" s="2" customFormat="1" ht="11.25" x14ac:dyDescent="0.2">
      <c r="A294" s="1"/>
      <c r="B294" s="1"/>
      <c r="C294" s="1"/>
      <c r="D294" s="79"/>
      <c r="E294" s="79"/>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1:32" s="2" customFormat="1" ht="11.25" x14ac:dyDescent="0.2">
      <c r="A295" s="1"/>
      <c r="B295" s="1"/>
      <c r="C295" s="1"/>
      <c r="D295" s="79"/>
      <c r="E295" s="79"/>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1:32" s="2" customFormat="1" ht="11.25" x14ac:dyDescent="0.2">
      <c r="A296" s="1"/>
      <c r="B296" s="1"/>
      <c r="C296" s="1"/>
      <c r="D296" s="79"/>
      <c r="E296" s="79"/>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1:32" s="2" customFormat="1" ht="11.25" x14ac:dyDescent="0.2">
      <c r="A297" s="1"/>
      <c r="B297" s="1"/>
      <c r="C297" s="1"/>
      <c r="D297" s="79"/>
      <c r="E297" s="79"/>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1:32" s="2" customFormat="1" ht="11.25" x14ac:dyDescent="0.2">
      <c r="A298" s="1"/>
      <c r="B298" s="1"/>
      <c r="C298" s="1"/>
      <c r="D298" s="79"/>
      <c r="E298" s="79"/>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1:32" s="2" customFormat="1" ht="11.25" x14ac:dyDescent="0.2">
      <c r="A299" s="1"/>
      <c r="B299" s="1"/>
      <c r="C299" s="1"/>
      <c r="D299" s="79"/>
      <c r="E299" s="79"/>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1:32" s="2" customFormat="1" ht="11.25" x14ac:dyDescent="0.2">
      <c r="A300" s="1"/>
      <c r="B300" s="1"/>
      <c r="C300" s="1"/>
      <c r="D300" s="79"/>
      <c r="E300" s="79"/>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1:32" s="2" customFormat="1" ht="11.25" x14ac:dyDescent="0.2">
      <c r="A301" s="1"/>
      <c r="B301" s="1"/>
      <c r="C301" s="1"/>
      <c r="D301" s="79"/>
      <c r="E301" s="79"/>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1:32" s="2" customFormat="1" ht="11.25" x14ac:dyDescent="0.2">
      <c r="A302" s="1"/>
      <c r="B302" s="1"/>
      <c r="C302" s="1"/>
      <c r="D302" s="79"/>
      <c r="E302" s="79"/>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1:32" s="2" customFormat="1" ht="11.25" x14ac:dyDescent="0.2">
      <c r="A303" s="1"/>
      <c r="B303" s="1"/>
      <c r="C303" s="1"/>
      <c r="D303" s="79"/>
      <c r="E303" s="79"/>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1:32" s="2" customFormat="1" ht="11.25" x14ac:dyDescent="0.2">
      <c r="A304" s="1"/>
      <c r="B304" s="1"/>
      <c r="C304" s="1"/>
      <c r="D304" s="79"/>
      <c r="E304" s="79"/>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1:32" s="2" customFormat="1" ht="11.25" x14ac:dyDescent="0.2">
      <c r="A305" s="1"/>
      <c r="B305" s="1"/>
      <c r="C305" s="1"/>
      <c r="D305" s="79"/>
      <c r="E305" s="79"/>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1:32" s="2" customFormat="1" ht="11.25" x14ac:dyDescent="0.2">
      <c r="A306" s="1"/>
      <c r="B306" s="1"/>
      <c r="C306" s="1"/>
      <c r="D306" s="79"/>
      <c r="E306" s="79"/>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1:32" s="2" customFormat="1" ht="11.25" x14ac:dyDescent="0.2">
      <c r="A307" s="1"/>
      <c r="B307" s="1"/>
      <c r="C307" s="1"/>
      <c r="D307" s="79"/>
      <c r="E307" s="79"/>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1:32" s="2" customFormat="1" ht="11.25" x14ac:dyDescent="0.2">
      <c r="A308" s="1"/>
      <c r="B308" s="1"/>
      <c r="C308" s="1"/>
      <c r="D308" s="79"/>
      <c r="E308" s="79"/>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1:32" s="2" customFormat="1" ht="11.25" x14ac:dyDescent="0.2">
      <c r="A309" s="1"/>
      <c r="B309" s="1"/>
      <c r="C309" s="1"/>
      <c r="D309" s="79"/>
      <c r="E309" s="79"/>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1:32" s="2" customFormat="1" ht="11.25" x14ac:dyDescent="0.2">
      <c r="A310" s="1"/>
      <c r="B310" s="1"/>
      <c r="C310" s="1"/>
      <c r="D310" s="79"/>
      <c r="E310" s="79"/>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sheetData>
  <mergeCells count="3">
    <mergeCell ref="B128:C129"/>
    <mergeCell ref="F6:K6"/>
    <mergeCell ref="R114:T114"/>
  </mergeCells>
  <phoneticPr fontId="2" type="noConversion"/>
  <hyperlinks>
    <hyperlink ref="F5" location="ValDate" display="ValDate" xr:uid="{00000000-0004-0000-0000-000000000000}"/>
    <hyperlink ref="F8" location="ExitDateHeading" display="ExitDateHeading" xr:uid="{00000000-0004-0000-0000-000001000000}"/>
    <hyperlink ref="F9" location="IndivData" display="IndivData" xr:uid="{00000000-0004-0000-0000-000002000000}"/>
    <hyperlink ref="F11" location="TotalRow" display="TotalRow" xr:uid="{00000000-0004-0000-0000-000003000000}"/>
    <hyperlink ref="F13" location="DataSummary" display="DataSummary" xr:uid="{00000000-0004-0000-0000-000004000000}"/>
    <hyperlink ref="F12" location="RowOfMax" display="RowOfMax" xr:uid="{00000000-0004-0000-0000-000005000000}"/>
    <hyperlink ref="F14" r:id="rId1" xr:uid="{00000000-0004-0000-0000-000006000000}"/>
    <hyperlink ref="F10" location="Calculation!AI116" display="Copy from top row of red area to the right of inputs down to all other rows" xr:uid="{CB458BD3-D395-4951-9D6A-543AC51329CF}"/>
  </hyperlinks>
  <pageMargins left="0.74803149606299213" right="0.74803149606299213" top="1.4960629921259843" bottom="1.6141732283464567" header="0.51181102362204722" footer="0.78740157480314965"/>
  <pageSetup paperSize="9" orientation="landscape" horizontalDpi="4294967292" r:id="rId2"/>
  <headerFooter alignWithMargins="0">
    <oddHeader>&amp;L&amp;"Arial,Bold"&amp;12Barton Consultancy
Pty Ltd&amp;6 ACN 060 885 387&amp;R&amp;"Arial,Bold"&amp;6 Level 10  251 Adelaide Tce
PO Y3584  Perth 6832
Tel + 61 8 9225 5899 Fax   + 61 8 9225 5877
Barton@Actuary.com.au
www.Actuary.com.au</oddHeader>
    <oddFooter>&amp;C&amp;"Arial,Bold"&amp;10Providing solutions as actuaries, economists,
mediators and statisticians.&amp;L&amp;"Arial,Bold"&amp;10Western Australian 
Owned
&amp;F
&amp;A&amp;R&amp;"Arial,Bold"&amp;10Page &amp;P of &amp;N
&amp;D &amp;T</oddFooter>
  </headerFooter>
  <rowBreaks count="3" manualBreakCount="3">
    <brk id="14" max="16383" man="1"/>
    <brk id="46" max="16383" man="1"/>
    <brk id="110" max="16383" man="1"/>
  </rowBreaks>
  <drawing r:id="rId3"/>
  <legacyDrawing r:id="rId4"/>
  <oleObjects>
    <mc:AlternateContent xmlns:mc="http://schemas.openxmlformats.org/markup-compatibility/2006">
      <mc:Choice Requires="x14">
        <oleObject progId="Word.Picture.6" shapeId="1028" r:id="rId5">
          <objectPr defaultSize="0" autoPict="0" r:id="rId6">
            <anchor moveWithCells="1">
              <from>
                <xdr:col>0</xdr:col>
                <xdr:colOff>9525</xdr:colOff>
                <xdr:row>0</xdr:row>
                <xdr:rowOff>0</xdr:rowOff>
              </from>
              <to>
                <xdr:col>0</xdr:col>
                <xdr:colOff>600075</xdr:colOff>
                <xdr:row>1</xdr:row>
                <xdr:rowOff>304800</xdr:rowOff>
              </to>
            </anchor>
          </objectPr>
        </oleObject>
      </mc:Choice>
      <mc:Fallback>
        <oleObject progId="Word.Picture.6" shapeId="1028" r:id="rId5"/>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9" x14ac:dyDescent="0.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9" x14ac:dyDescent="0.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EB2799A39E814F4B80457F2DAF12897B" ma:contentTypeVersion="494" ma:contentTypeDescription="Create a new document." ma:contentTypeScope="" ma:versionID="62d9e7161568ae982a2aa9f986b5d7ce">
  <xsd:schema xmlns:xsd="http://www.w3.org/2001/XMLSchema" xmlns:xs="http://www.w3.org/2001/XMLSchema" xmlns:p="http://schemas.microsoft.com/office/2006/metadata/properties" xmlns:ns2="1a2cad84-06ba-4b32-9083-e09308cc5c33" xmlns:ns3="8d0f82f1-e0c4-481d-80a7-bcb2ef007826" targetNamespace="http://schemas.microsoft.com/office/2006/metadata/properties" ma:root="true" ma:fieldsID="60bf6c22a91f490360f10218b7f57a59" ns2:_="" ns3:_="">
    <xsd:import namespace="1a2cad84-06ba-4b32-9083-e09308cc5c33"/>
    <xsd:import namespace="8d0f82f1-e0c4-481d-80a7-bcb2ef007826"/>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Location" minOccurs="0"/>
                <xsd:element ref="ns3:MediaServiceOCR" minOccurs="0"/>
                <xsd:element ref="ns3:MediaServiceAutoKeyPoints" minOccurs="0"/>
                <xsd:element ref="ns3:MediaServiceKeyPoints" minOccurs="0"/>
                <xsd:element ref="ns2:SharedWithUsers" minOccurs="0"/>
                <xsd:element ref="ns2:SharedWithDetails" minOccurs="0"/>
                <xsd:element ref="ns3:lcf76f155ced4ddcb4097134ff3c332f" minOccurs="0"/>
                <xsd:element ref="ns2:TaxCatchAll" minOccurs="0"/>
                <xsd:element ref="ns3:MediaServiceObjectDetectorVersions" minOccurs="0"/>
                <xsd:element ref="ns3:MediaLengthInSecond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2cad84-06ba-4b32-9083-e09308cc5c33"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abbd5882-f306-4a85-be5e-0fa59898a151}" ma:internalName="TaxCatchAll" ma:showField="CatchAllData" ma:web="1a2cad84-06ba-4b32-9083-e09308cc5c3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d0f82f1-e0c4-481d-80a7-bcb2ef00782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a240dd0c-b9f1-4356-9bc3-8af934d693d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_dlc_DocId xmlns="1a2cad84-06ba-4b32-9083-e09308cc5c33">JC7HJXK6ATSK-1408627171-263410</_dlc_DocId>
    <_dlc_DocIdUrl xmlns="1a2cad84-06ba-4b32-9083-e09308cc5c33">
      <Url>https://processingandprogramming.sharepoint.com/sites/PP/_layouts/15/DocIdRedir.aspx?ID=JC7HJXK6ATSK-1408627171-263410</Url>
      <Description>JC7HJXK6ATSK-1408627171-263410</Description>
    </_dlc_DocIdUrl>
    <lcf76f155ced4ddcb4097134ff3c332f xmlns="8d0f82f1-e0c4-481d-80a7-bcb2ef007826">
      <Terms xmlns="http://schemas.microsoft.com/office/infopath/2007/PartnerControls"/>
    </lcf76f155ced4ddcb4097134ff3c332f>
    <TaxCatchAll xmlns="1a2cad84-06ba-4b32-9083-e09308cc5c33" xsi:nil="true"/>
  </documentManagement>
</p:properties>
</file>

<file path=customXml/itemProps1.xml><?xml version="1.0" encoding="utf-8"?>
<ds:datastoreItem xmlns:ds="http://schemas.openxmlformats.org/officeDocument/2006/customXml" ds:itemID="{02757B78-EF81-48A0-B7E4-CC6F91A68673}">
  <ds:schemaRefs>
    <ds:schemaRef ds:uri="http://schemas.microsoft.com/office/2006/metadata/longProperties"/>
  </ds:schemaRefs>
</ds:datastoreItem>
</file>

<file path=customXml/itemProps2.xml><?xml version="1.0" encoding="utf-8"?>
<ds:datastoreItem xmlns:ds="http://schemas.openxmlformats.org/officeDocument/2006/customXml" ds:itemID="{D2800419-E2AB-4A00-92AE-FF0D5DD203F4}">
  <ds:schemaRefs>
    <ds:schemaRef ds:uri="http://schemas.microsoft.com/sharepoint/v3/contenttype/forms"/>
  </ds:schemaRefs>
</ds:datastoreItem>
</file>

<file path=customXml/itemProps3.xml><?xml version="1.0" encoding="utf-8"?>
<ds:datastoreItem xmlns:ds="http://schemas.openxmlformats.org/officeDocument/2006/customXml" ds:itemID="{C1604B3C-54F6-44F4-8768-9F86D2C9BA7C}">
  <ds:schemaRefs>
    <ds:schemaRef ds:uri="http://schemas.microsoft.com/sharepoint/events"/>
  </ds:schemaRefs>
</ds:datastoreItem>
</file>

<file path=customXml/itemProps4.xml><?xml version="1.0" encoding="utf-8"?>
<ds:datastoreItem xmlns:ds="http://schemas.openxmlformats.org/officeDocument/2006/customXml" ds:itemID="{3DBCA42E-53B1-48B9-9C03-916A1C7B16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2cad84-06ba-4b32-9083-e09308cc5c33"/>
    <ds:schemaRef ds:uri="8d0f82f1-e0c4-481d-80a7-bcb2ef0078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8A7736E4-468F-4010-83DA-AC610B45F0F4}">
  <ds:schemaRefs>
    <ds:schemaRef ds:uri="1a2cad84-06ba-4b32-9083-e09308cc5c33"/>
    <ds:schemaRef ds:uri="http://purl.org/dc/term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8d0f82f1-e0c4-481d-80a7-bcb2ef007826"/>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30</vt:i4>
      </vt:variant>
    </vt:vector>
  </HeadingPairs>
  <TitlesOfParts>
    <vt:vector size="31" baseType="lpstr">
      <vt:lpstr>Calculation</vt:lpstr>
      <vt:lpstr>AllFRow</vt:lpstr>
      <vt:lpstr>AllMRow</vt:lpstr>
      <vt:lpstr>AllRow</vt:lpstr>
      <vt:lpstr>AvFRow</vt:lpstr>
      <vt:lpstr>AvMRow</vt:lpstr>
      <vt:lpstr>AvRow</vt:lpstr>
      <vt:lpstr>ClientName</vt:lpstr>
      <vt:lpstr>CopyArea</vt:lpstr>
      <vt:lpstr>DataAndResultsSummary</vt:lpstr>
      <vt:lpstr>DataStart</vt:lpstr>
      <vt:lpstr>DataSummary</vt:lpstr>
      <vt:lpstr>ExitDateHeading</vt:lpstr>
      <vt:lpstr>GendemData</vt:lpstr>
      <vt:lpstr>HeaderRow</vt:lpstr>
      <vt:lpstr>IndivData</vt:lpstr>
      <vt:lpstr>LastYear</vt:lpstr>
      <vt:lpstr>LiveAllRow</vt:lpstr>
      <vt:lpstr>LiveAvRow</vt:lpstr>
      <vt:lpstr>LiveMaxRow</vt:lpstr>
      <vt:lpstr>LiveMinRow</vt:lpstr>
      <vt:lpstr>Maxrecs</vt:lpstr>
      <vt:lpstr>MaxRow</vt:lpstr>
      <vt:lpstr>MinRow</vt:lpstr>
      <vt:lpstr>PreCondDays</vt:lpstr>
      <vt:lpstr>Calculation!Print_Area</vt:lpstr>
      <vt:lpstr>RowOfMax</vt:lpstr>
      <vt:lpstr>SexCode</vt:lpstr>
      <vt:lpstr>TotalRow</vt:lpstr>
      <vt:lpstr>VaDate</vt:lpstr>
      <vt:lpstr>ValDate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Data for copying values to LSLAcrd</dc:title>
  <dc:creator>Dennis Barton</dc:creator>
  <cp:lastModifiedBy>Emerald Whiteman</cp:lastModifiedBy>
  <cp:lastPrinted>2006-06-26T08:35:41Z</cp:lastPrinted>
  <dcterms:created xsi:type="dcterms:W3CDTF">2000-07-04T01:41:51Z</dcterms:created>
  <dcterms:modified xsi:type="dcterms:W3CDTF">2025-05-30T03:17:55Z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oiadmin</vt:lpwstr>
  </property>
  <property fmtid="{D5CDD505-2E9C-101B-9397-08002B2CF9AE}" pid="3" name="Order">
    <vt:lpwstr>3551200.00000000</vt:lpwstr>
  </property>
  <property fmtid="{D5CDD505-2E9C-101B-9397-08002B2CF9AE}" pid="4" name="display_urn:schemas-microsoft-com:office:office#Author">
    <vt:lpwstr>oiadmin</vt:lpwstr>
  </property>
  <property fmtid="{D5CDD505-2E9C-101B-9397-08002B2CF9AE}" pid="5" name="_dlc_DocId">
    <vt:lpwstr>JC7HJXK6ATSK-1408627171-35512</vt:lpwstr>
  </property>
  <property fmtid="{D5CDD505-2E9C-101B-9397-08002B2CF9AE}" pid="6" name="_dlc_DocIdItemGuid">
    <vt:lpwstr>14bb97b0-f593-483f-9d04-091fde7584aa</vt:lpwstr>
  </property>
  <property fmtid="{D5CDD505-2E9C-101B-9397-08002B2CF9AE}" pid="7" name="_dlc_DocIdUrl">
    <vt:lpwstr>https://processingandprogramming.sharepoint.com/sites/PP/_layouts/15/DocIdRedir.aspx?ID=JC7HJXK6ATSK-1408627171-35512, JC7HJXK6ATSK-1408627171-35512</vt:lpwstr>
  </property>
  <property fmtid="{D5CDD505-2E9C-101B-9397-08002B2CF9AE}" pid="8" name="ContentTypeId">
    <vt:lpwstr>0x010100EB2799A39E814F4B80457F2DAF12897B</vt:lpwstr>
  </property>
  <property fmtid="{D5CDD505-2E9C-101B-9397-08002B2CF9AE}" pid="9" name="MediaServiceImageTags">
    <vt:lpwstr/>
  </property>
</Properties>
</file>